
<file path=[Content_Types].xml><?xml version="1.0" encoding="utf-8"?>
<Types xmlns="http://schemas.openxmlformats.org/package/2006/content-types">
  <Default Extension="png" ContentType="image/png"/>
  <Default Extension="jpeg" ContentType="image/jpe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harts/chart1.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activeX/activeX1.xml" ContentType="application/vnd.ms-office.activeX+xml"/>
  <Override PartName="/xl/activeX/activeX1.bin" ContentType="application/vnd.ms-office.activeX"/>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codeName="{8C4F1C90-05EB-6A55-5F09-09C24B55AC0B}"/>
  <workbookPr codeName="ThisWorkbook"/>
  <workbookProtection workbookPassword="CBAF" lockStructure="1"/>
  <bookViews>
    <workbookView xWindow="105" yWindow="60" windowWidth="14640" windowHeight="8730" tabRatio="843" firstSheet="3" activeTab="3"/>
  </bookViews>
  <sheets>
    <sheet name="CODICI" sheetId="5" state="hidden" r:id="rId1"/>
    <sheet name="LINGUA" sheetId="7" state="hidden" r:id="rId2"/>
    <sheet name="GRAFICI" sheetId="1" state="hidden" r:id="rId3"/>
    <sheet name="DESIGN" sheetId="4" r:id="rId4"/>
    <sheet name="SELECTION" sheetId="6" r:id="rId5"/>
    <sheet name="OFFER" sheetId="8" r:id="rId6"/>
    <sheet name="Steam absoprtion distance-AUTO" sheetId="15" state="hidden" r:id="rId7"/>
    <sheet name="TENDER TEXT" sheetId="17" r:id="rId8"/>
    <sheet name="Steam absoprtion distance " sheetId="16" r:id="rId9"/>
    <sheet name="Currencies" sheetId="19" state="hidden" r:id="rId10"/>
    <sheet name="Potenze" sheetId="12" state="hidden" r:id="rId11"/>
    <sheet name="Commissioning" sheetId="10" state="hidden" r:id="rId12"/>
    <sheet name="DP" sheetId="14" state="hidden" r:id="rId13"/>
    <sheet name="release" sheetId="18" state="hidden" r:id="rId14"/>
  </sheets>
  <externalReferences>
    <externalReference r:id="rId15"/>
  </externalReferences>
  <definedNames>
    <definedName name="_xlnm._FilterDatabase" localSheetId="0" hidden="1">CODICI!$A$5:$E$457</definedName>
    <definedName name="_xlnm._FilterDatabase" localSheetId="12" hidden="1">DP!$A$1:$O$64</definedName>
    <definedName name="_xlnm._FilterDatabase" localSheetId="1" hidden="1">LINGUA!$A$1:$H$517</definedName>
    <definedName name="_UE01">DESIGN!$AP$133:$AQ$133</definedName>
    <definedName name="_UE03">DESIGN!$AP$133:$AU$133</definedName>
    <definedName name="_UE05">DESIGN!$AP$133:$AV$133</definedName>
    <definedName name="_UE06">DESIGN!$AP$133:$AV$133</definedName>
    <definedName name="_UE08">DESIGN!$AR$133:$AV$133</definedName>
    <definedName name="_UE18">DESIGN!$AT$133:$AV$133</definedName>
    <definedName name="_UG2">DESIGN!$AQ$133</definedName>
    <definedName name="Base" localSheetId="8">[1]DESIGN!#REF!</definedName>
    <definedName name="Base" localSheetId="6">[1]DESIGN!#REF!</definedName>
    <definedName name="Base">DESIGN!#REF!</definedName>
    <definedName name="BASE3">DESIGN!#REF!</definedName>
    <definedName name="BaseMax" localSheetId="8">[1]DESIGN!#REF!</definedName>
    <definedName name="BaseMax" localSheetId="6">[1]DESIGN!#REF!</definedName>
    <definedName name="BaseMax">DESIGN!#REF!</definedName>
    <definedName name="BASEmax3">DESIGN!#REF!</definedName>
    <definedName name="BaseMin" localSheetId="8">[1]DESIGN!#REF!</definedName>
    <definedName name="BaseMin" localSheetId="6">[1]DESIGN!#REF!</definedName>
    <definedName name="BaseMin">DESIGN!#REF!</definedName>
    <definedName name="BASEmin3">DESIGN!#REF!</definedName>
    <definedName name="ciao" localSheetId="8">DESIGN!#REF!</definedName>
    <definedName name="ciao">DESIGN!#REF!</definedName>
    <definedName name="Circuiti" localSheetId="8">[1]DESIGN!$M$78:$M$81</definedName>
    <definedName name="Circuiti" localSheetId="6">[1]DESIGN!$M$78:$M$81</definedName>
    <definedName name="Circuiti">DESIGN!#REF!</definedName>
    <definedName name="Circuiti3">DESIGN!#REF!</definedName>
    <definedName name="humidifier">DESIGN!$AA$145:$AB$151</definedName>
    <definedName name="language">LINGUA!$C$1:$H$1</definedName>
    <definedName name="LTubo">DESIGN!$AB$161:$AB$165</definedName>
    <definedName name="P" localSheetId="8">DESIGN!#REF!</definedName>
    <definedName name="P">DESIGN!#REF!</definedName>
    <definedName name="Pompa" localSheetId="8">[1]DESIGN!$F$94:$F$97</definedName>
    <definedName name="Pompa" localSheetId="6">[1]DESIGN!$F$94:$F$97</definedName>
    <definedName name="Pompa">DESIGN!#REF!</definedName>
    <definedName name="Pompa3">DESIGN!#REF!</definedName>
    <definedName name="Pressione" localSheetId="8">[1]DESIGN!#REF!</definedName>
    <definedName name="Pressione" localSheetId="6">[1]DESIGN!#REF!</definedName>
    <definedName name="Pressione">DESIGN!#REF!</definedName>
    <definedName name="Pressione3">DESIGN!#REF!</definedName>
    <definedName name="PressioneMax" localSheetId="8">[1]DESIGN!#REF!</definedName>
    <definedName name="PressioneMax" localSheetId="6">[1]DESIGN!#REF!</definedName>
    <definedName name="PressioneMax">DESIGN!#REF!</definedName>
    <definedName name="PressioneMax3">DESIGN!#REF!</definedName>
    <definedName name="PressioneMin" localSheetId="8">[1]DESIGN!#REF!</definedName>
    <definedName name="PressioneMin" localSheetId="6">[1]DESIGN!#REF!</definedName>
    <definedName name="PressioneMin">DESIGN!#REF!</definedName>
    <definedName name="PressioneMin2" localSheetId="8">DESIGN!#REF!</definedName>
    <definedName name="PressioneMin2">DESIGN!#REF!</definedName>
    <definedName name="Pressionemin3">DESIGN!#REF!</definedName>
    <definedName name="Primo" localSheetId="8">[1]DESIGN!#REF!</definedName>
    <definedName name="Primo" localSheetId="6">[1]DESIGN!#REF!</definedName>
    <definedName name="Primo">DESIGN!#REF!</definedName>
    <definedName name="Primo3">DESIGN!#REF!</definedName>
    <definedName name="PrimoMax" localSheetId="8">[1]DESIGN!#REF!</definedName>
    <definedName name="PrimoMax" localSheetId="6">[1]DESIGN!#REF!</definedName>
    <definedName name="PrimoMax">DESIGN!#REF!</definedName>
    <definedName name="PrimoMax3">DESIGN!#REF!</definedName>
    <definedName name="PrimoMin" localSheetId="8">[1]DESIGN!#REF!</definedName>
    <definedName name="PrimoMin" localSheetId="6">[1]DESIGN!#REF!</definedName>
    <definedName name="PrimoMin">DESIGN!#REF!</definedName>
    <definedName name="PrimoMin3">DESIGN!#REF!</definedName>
    <definedName name="_xlnm.Print_Area" localSheetId="0">CODICI!#REF!</definedName>
    <definedName name="_xlnm.Print_Area" localSheetId="3">DESIGN!$A$30:$L$113</definedName>
    <definedName name="_xlnm.Print_Area" localSheetId="5">OFFER!$A$1:$G$27</definedName>
    <definedName name="_xlnm.Print_Area" localSheetId="4">SELECTION!$A$4:$L$50</definedName>
    <definedName name="_xlnm.Print_Area" localSheetId="8">'Steam absoprtion distance '!$A$1:$Q$33</definedName>
    <definedName name="_xlnm.Print_Area" localSheetId="6">'Steam absoprtion distance-AUTO'!$A$1:$Q$33</definedName>
    <definedName name="sceltalingue">LINGUA!$A$537:$A$541</definedName>
    <definedName name="sceltalingue2">LINGUA!$A$743:$A$747</definedName>
    <definedName name="Secmax">DESIGN!#REF!</definedName>
    <definedName name="Secmin">DESIGN!#REF!</definedName>
    <definedName name="Secondo" localSheetId="8">[1]DESIGN!#REF!</definedName>
    <definedName name="Secondo" localSheetId="6">[1]DESIGN!#REF!</definedName>
    <definedName name="Secondo">DESIGN!#REF!</definedName>
    <definedName name="secondo2" localSheetId="8">DESIGN!#REF!</definedName>
    <definedName name="secondo2">DESIGN!#REF!</definedName>
    <definedName name="Secondo3">DESIGN!#REF!</definedName>
    <definedName name="SecondoMax" localSheetId="8">[1]DESIGN!#REF!</definedName>
    <definedName name="SecondoMax" localSheetId="6">[1]DESIGN!#REF!</definedName>
    <definedName name="SecondoMax">DESIGN!#REF!</definedName>
    <definedName name="SecondoMin" localSheetId="8">[1]DESIGN!#REF!</definedName>
    <definedName name="SecondoMin" localSheetId="6">[1]DESIGN!#REF!</definedName>
    <definedName name="SecondoMin">DESIGN!#REF!</definedName>
    <definedName name="SiNO">LINGUA!$B$34:$B$35</definedName>
    <definedName name="sofia" localSheetId="8">DESIGN!#REF!</definedName>
    <definedName name="sofia">DESIGN!#REF!</definedName>
    <definedName name="SondeNumero">DESIGN!$Y$157:$Y$159</definedName>
    <definedName name="Stringa1" localSheetId="8">[1]DESIGN!#REF!</definedName>
    <definedName name="Stringa1" localSheetId="6">[1]DESIGN!#REF!</definedName>
    <definedName name="Stringa1">DESIGN!#REF!</definedName>
    <definedName name="Stringa1.2" localSheetId="8">DESIGN!#REF!</definedName>
    <definedName name="Stringa1.2">DESIGN!#REF!</definedName>
    <definedName name="Stringa1.3">DESIGN!#REF!</definedName>
    <definedName name="Stringa2" localSheetId="8">[1]DESIGN!#REF!</definedName>
    <definedName name="Stringa2" localSheetId="6">[1]DESIGN!#REF!</definedName>
    <definedName name="Stringa2">DESIGN!#REF!</definedName>
    <definedName name="stringa2.2" localSheetId="8">DESIGN!#REF!</definedName>
    <definedName name="stringa2.2">DESIGN!#REF!</definedName>
    <definedName name="Stringa2.3">DESIGN!#REF!</definedName>
    <definedName name="Stringa3" localSheetId="8">[1]DESIGN!#REF!</definedName>
    <definedName name="Stringa3" localSheetId="6">[1]DESIGN!#REF!</definedName>
    <definedName name="Stringa3">DESIGN!#REF!</definedName>
    <definedName name="Stringa3.2" localSheetId="8">DESIGN!#REF!</definedName>
    <definedName name="Stringa3.2">DESIGN!#REF!</definedName>
    <definedName name="Stringa3.3">DESIGN!#REF!</definedName>
    <definedName name="Stringa4" localSheetId="8">[1]DESIGN!#REF!</definedName>
    <definedName name="Stringa4" localSheetId="6">[1]DESIGN!#REF!</definedName>
    <definedName name="Stringa4">DESIGN!#REF!</definedName>
    <definedName name="Stringa5" localSheetId="8">[1]DESIGN!#REF!</definedName>
    <definedName name="Stringa5" localSheetId="6">[1]DESIGN!#REF!</definedName>
    <definedName name="Stringa5">DESIGN!#REF!</definedName>
    <definedName name="Stringa5.2" localSheetId="8">DESIGN!#REF!</definedName>
    <definedName name="Stringa5.2">DESIGN!#REF!</definedName>
    <definedName name="Stringa5.3">DESIGN!#REF!</definedName>
    <definedName name="Terzo" localSheetId="8">[1]DESIGN!#REF!</definedName>
    <definedName name="Terzo" localSheetId="6">[1]DESIGN!#REF!</definedName>
    <definedName name="Terzo">DESIGN!#REF!</definedName>
    <definedName name="terzo2" localSheetId="8">DESIGN!#REF!</definedName>
    <definedName name="terzo2">DESIGN!#REF!</definedName>
    <definedName name="Terzo3">DESIGN!#REF!</definedName>
    <definedName name="TerzoMax" localSheetId="8">[1]DESIGN!#REF!</definedName>
    <definedName name="TerzoMax" localSheetId="6">[1]DESIGN!#REF!</definedName>
    <definedName name="TerzoMax">DESIGN!#REF!</definedName>
    <definedName name="TerzoMax3">DESIGN!#REF!</definedName>
    <definedName name="TerzoMin" localSheetId="8">[1]DESIGN!#REF!</definedName>
    <definedName name="TerzoMin" localSheetId="6">[1]DESIGN!#REF!</definedName>
    <definedName name="TerzoMin">DESIGN!#REF!</definedName>
    <definedName name="TerzoMin2" localSheetId="8">DESIGN!#REF!</definedName>
    <definedName name="TerzoMin2">DESIGN!#REF!</definedName>
    <definedName name="Terzomin3">DESIGN!#REF!</definedName>
    <definedName name="UE">DESIGN!$BB$133:$BC$133</definedName>
    <definedName name="UG">DESIGN!$BF$133:$BG$133</definedName>
    <definedName name="Ugello" localSheetId="8">[1]DESIGN!$Y$21:$Z$21</definedName>
    <definedName name="Ugello" localSheetId="6">[1]DESIGN!$Y$21:$Z$21</definedName>
    <definedName name="Ugello">DESIGN!#REF!</definedName>
    <definedName name="Ugello2" localSheetId="8">DESIGN!#REF!</definedName>
    <definedName name="Ugello2">DESIGN!#REF!</definedName>
    <definedName name="Ugello3">DESIGN!#REF!</definedName>
    <definedName name="UR">DESIGN!$BD$133:$BE$133</definedName>
  </definedNames>
  <calcPr calcId="145621"/>
</workbook>
</file>

<file path=xl/calcChain.xml><?xml version="1.0" encoding="utf-8"?>
<calcChain xmlns="http://schemas.openxmlformats.org/spreadsheetml/2006/main">
  <c r="C48" i="6" l="1"/>
  <c r="F22" i="5" s="1"/>
  <c r="B48" i="6"/>
  <c r="B46" i="6"/>
  <c r="E48" i="6"/>
  <c r="C47" i="6"/>
  <c r="F456" i="5" l="1"/>
  <c r="F448" i="5"/>
  <c r="F440" i="5"/>
  <c r="F432" i="5"/>
  <c r="F424" i="5"/>
  <c r="F416" i="5"/>
  <c r="F408" i="5"/>
  <c r="F400" i="5"/>
  <c r="F392" i="5"/>
  <c r="F384" i="5"/>
  <c r="F376" i="5"/>
  <c r="F368" i="5"/>
  <c r="F360" i="5"/>
  <c r="F352" i="5"/>
  <c r="F333" i="5"/>
  <c r="F311" i="5"/>
  <c r="F290" i="5"/>
  <c r="F262" i="5"/>
  <c r="F230" i="5"/>
  <c r="F198" i="5"/>
  <c r="F166" i="5"/>
  <c r="F134" i="5"/>
  <c r="F102" i="5"/>
  <c r="F70" i="5"/>
  <c r="F38" i="5"/>
  <c r="F455" i="5"/>
  <c r="F447" i="5"/>
  <c r="F439" i="5"/>
  <c r="F431" i="5"/>
  <c r="F423" i="5"/>
  <c r="F415" i="5"/>
  <c r="F407" i="5"/>
  <c r="F399" i="5"/>
  <c r="F391" i="5"/>
  <c r="F383" i="5"/>
  <c r="F375" i="5"/>
  <c r="F367" i="5"/>
  <c r="F359" i="5"/>
  <c r="F348" i="5"/>
  <c r="F327" i="5"/>
  <c r="F306" i="5"/>
  <c r="F285" i="5"/>
  <c r="F254" i="5"/>
  <c r="F222" i="5"/>
  <c r="F190" i="5"/>
  <c r="F158" i="5"/>
  <c r="F126" i="5"/>
  <c r="F94" i="5"/>
  <c r="F62" i="5"/>
  <c r="F30" i="5"/>
  <c r="F452" i="5"/>
  <c r="F444" i="5"/>
  <c r="F436" i="5"/>
  <c r="F428" i="5"/>
  <c r="F420" i="5"/>
  <c r="F412" i="5"/>
  <c r="F404" i="5"/>
  <c r="F396" i="5"/>
  <c r="F388" i="5"/>
  <c r="F380" i="5"/>
  <c r="F372" i="5"/>
  <c r="F364" i="5"/>
  <c r="F356" i="5"/>
  <c r="F343" i="5"/>
  <c r="F322" i="5"/>
  <c r="F301" i="5"/>
  <c r="F278" i="5"/>
  <c r="F246" i="5"/>
  <c r="F214" i="5"/>
  <c r="F182" i="5"/>
  <c r="F150" i="5"/>
  <c r="F118" i="5"/>
  <c r="F86" i="5"/>
  <c r="F54" i="5"/>
  <c r="F7" i="5"/>
  <c r="F11" i="5"/>
  <c r="F15" i="5"/>
  <c r="F19" i="5"/>
  <c r="F23" i="5"/>
  <c r="F27" i="5"/>
  <c r="F31" i="5"/>
  <c r="F35" i="5"/>
  <c r="F39" i="5"/>
  <c r="F43" i="5"/>
  <c r="K34" i="6" s="1"/>
  <c r="F47" i="5"/>
  <c r="F51" i="5"/>
  <c r="F55" i="5"/>
  <c r="F59" i="5"/>
  <c r="F63" i="5"/>
  <c r="F67" i="5"/>
  <c r="F71" i="5"/>
  <c r="F75" i="5"/>
  <c r="F79" i="5"/>
  <c r="F83" i="5"/>
  <c r="F87" i="5"/>
  <c r="F91" i="5"/>
  <c r="F95" i="5"/>
  <c r="F99" i="5"/>
  <c r="F103" i="5"/>
  <c r="F107" i="5"/>
  <c r="F111" i="5"/>
  <c r="F115" i="5"/>
  <c r="F119" i="5"/>
  <c r="F123" i="5"/>
  <c r="F127" i="5"/>
  <c r="F131" i="5"/>
  <c r="F135" i="5"/>
  <c r="F139" i="5"/>
  <c r="F143" i="5"/>
  <c r="F147" i="5"/>
  <c r="F151" i="5"/>
  <c r="F155" i="5"/>
  <c r="F159" i="5"/>
  <c r="F163" i="5"/>
  <c r="F167" i="5"/>
  <c r="F171" i="5"/>
  <c r="F175" i="5"/>
  <c r="F179" i="5"/>
  <c r="F183" i="5"/>
  <c r="F187" i="5"/>
  <c r="F191" i="5"/>
  <c r="F195" i="5"/>
  <c r="F199" i="5"/>
  <c r="F203" i="5"/>
  <c r="F207" i="5"/>
  <c r="F211" i="5"/>
  <c r="F215" i="5"/>
  <c r="F219" i="5"/>
  <c r="F223" i="5"/>
  <c r="F227" i="5"/>
  <c r="F231" i="5"/>
  <c r="F235" i="5"/>
  <c r="F239" i="5"/>
  <c r="F243" i="5"/>
  <c r="F247" i="5"/>
  <c r="F251" i="5"/>
  <c r="F255" i="5"/>
  <c r="F259" i="5"/>
  <c r="F263" i="5"/>
  <c r="F267" i="5"/>
  <c r="F271" i="5"/>
  <c r="F275" i="5"/>
  <c r="F279" i="5"/>
  <c r="F8" i="5"/>
  <c r="F12" i="5"/>
  <c r="F16" i="5"/>
  <c r="F20" i="5"/>
  <c r="F24" i="5"/>
  <c r="F28" i="5"/>
  <c r="F32" i="5"/>
  <c r="F36" i="5"/>
  <c r="F40" i="5"/>
  <c r="K31" i="6" s="1"/>
  <c r="F44" i="5"/>
  <c r="K35" i="6" s="1"/>
  <c r="F48" i="5"/>
  <c r="F52" i="5"/>
  <c r="F56" i="5"/>
  <c r="F60" i="5"/>
  <c r="F64" i="5"/>
  <c r="F68" i="5"/>
  <c r="F72" i="5"/>
  <c r="F76" i="5"/>
  <c r="F80" i="5"/>
  <c r="F84" i="5"/>
  <c r="F88" i="5"/>
  <c r="F92" i="5"/>
  <c r="F96" i="5"/>
  <c r="F100" i="5"/>
  <c r="F104" i="5"/>
  <c r="F108" i="5"/>
  <c r="F112" i="5"/>
  <c r="F116" i="5"/>
  <c r="F120" i="5"/>
  <c r="F124" i="5"/>
  <c r="F128" i="5"/>
  <c r="F132" i="5"/>
  <c r="F136" i="5"/>
  <c r="F140" i="5"/>
  <c r="F144" i="5"/>
  <c r="F148" i="5"/>
  <c r="F152" i="5"/>
  <c r="F156" i="5"/>
  <c r="F160" i="5"/>
  <c r="F164" i="5"/>
  <c r="F168" i="5"/>
  <c r="F172" i="5"/>
  <c r="F176" i="5"/>
  <c r="F180" i="5"/>
  <c r="F184" i="5"/>
  <c r="F188" i="5"/>
  <c r="F192" i="5"/>
  <c r="F196" i="5"/>
  <c r="F200" i="5"/>
  <c r="F204" i="5"/>
  <c r="F208" i="5"/>
  <c r="F212" i="5"/>
  <c r="F216" i="5"/>
  <c r="F220" i="5"/>
  <c r="F224" i="5"/>
  <c r="F228" i="5"/>
  <c r="F232" i="5"/>
  <c r="F236" i="5"/>
  <c r="F240" i="5"/>
  <c r="F244" i="5"/>
  <c r="F248" i="5"/>
  <c r="F252" i="5"/>
  <c r="F256" i="5"/>
  <c r="F260" i="5"/>
  <c r="F264" i="5"/>
  <c r="F268" i="5"/>
  <c r="F272" i="5"/>
  <c r="F276" i="5"/>
  <c r="F280" i="5"/>
  <c r="F284" i="5"/>
  <c r="F288" i="5"/>
  <c r="F292" i="5"/>
  <c r="F296" i="5"/>
  <c r="F300" i="5"/>
  <c r="F304" i="5"/>
  <c r="F308" i="5"/>
  <c r="F312" i="5"/>
  <c r="F316" i="5"/>
  <c r="F320" i="5"/>
  <c r="F324" i="5"/>
  <c r="F328" i="5"/>
  <c r="F332" i="5"/>
  <c r="F336" i="5"/>
  <c r="F340" i="5"/>
  <c r="F344" i="5"/>
  <c r="F9" i="5"/>
  <c r="F17" i="5"/>
  <c r="F25" i="5"/>
  <c r="F33" i="5"/>
  <c r="F41" i="5"/>
  <c r="K32" i="6" s="1"/>
  <c r="F49" i="5"/>
  <c r="F57" i="5"/>
  <c r="F65" i="5"/>
  <c r="F73" i="5"/>
  <c r="F81" i="5"/>
  <c r="F89" i="5"/>
  <c r="F97" i="5"/>
  <c r="F105" i="5"/>
  <c r="F113" i="5"/>
  <c r="F121" i="5"/>
  <c r="F129" i="5"/>
  <c r="F137" i="5"/>
  <c r="F145" i="5"/>
  <c r="F153" i="5"/>
  <c r="F161" i="5"/>
  <c r="F169" i="5"/>
  <c r="F177" i="5"/>
  <c r="F185" i="5"/>
  <c r="F193" i="5"/>
  <c r="F201" i="5"/>
  <c r="F209" i="5"/>
  <c r="F217" i="5"/>
  <c r="F225" i="5"/>
  <c r="F233" i="5"/>
  <c r="F241" i="5"/>
  <c r="F249" i="5"/>
  <c r="F257" i="5"/>
  <c r="F265" i="5"/>
  <c r="F273" i="5"/>
  <c r="F281" i="5"/>
  <c r="F286" i="5"/>
  <c r="F291" i="5"/>
  <c r="F297" i="5"/>
  <c r="F302" i="5"/>
  <c r="F307" i="5"/>
  <c r="F313" i="5"/>
  <c r="F318" i="5"/>
  <c r="F323" i="5"/>
  <c r="F329" i="5"/>
  <c r="F334" i="5"/>
  <c r="F339" i="5"/>
  <c r="F345" i="5"/>
  <c r="F349" i="5"/>
  <c r="F353" i="5"/>
  <c r="F357" i="5"/>
  <c r="F361" i="5"/>
  <c r="F365" i="5"/>
  <c r="F369" i="5"/>
  <c r="F373" i="5"/>
  <c r="F377" i="5"/>
  <c r="F381" i="5"/>
  <c r="F385" i="5"/>
  <c r="F389" i="5"/>
  <c r="F393" i="5"/>
  <c r="F397" i="5"/>
  <c r="F401" i="5"/>
  <c r="F405" i="5"/>
  <c r="F409" i="5"/>
  <c r="F413" i="5"/>
  <c r="F417" i="5"/>
  <c r="F421" i="5"/>
  <c r="F425" i="5"/>
  <c r="F429" i="5"/>
  <c r="F433" i="5"/>
  <c r="F437" i="5"/>
  <c r="F441" i="5"/>
  <c r="F445" i="5"/>
  <c r="F449" i="5"/>
  <c r="F453" i="5"/>
  <c r="F457" i="5"/>
  <c r="F213" i="5"/>
  <c r="F245" i="5"/>
  <c r="F261" i="5"/>
  <c r="F277" i="5"/>
  <c r="F294" i="5"/>
  <c r="F305" i="5"/>
  <c r="F315" i="5"/>
  <c r="F326" i="5"/>
  <c r="F337" i="5"/>
  <c r="F347" i="5"/>
  <c r="F10" i="5"/>
  <c r="F18" i="5"/>
  <c r="F26" i="5"/>
  <c r="F34" i="5"/>
  <c r="F42" i="5"/>
  <c r="K33" i="6" s="1"/>
  <c r="F50" i="5"/>
  <c r="F58" i="5"/>
  <c r="F66" i="5"/>
  <c r="F74" i="5"/>
  <c r="F82" i="5"/>
  <c r="F90" i="5"/>
  <c r="F98" i="5"/>
  <c r="F106" i="5"/>
  <c r="F114" i="5"/>
  <c r="F122" i="5"/>
  <c r="F130" i="5"/>
  <c r="F138" i="5"/>
  <c r="F146" i="5"/>
  <c r="F154" i="5"/>
  <c r="F162" i="5"/>
  <c r="F170" i="5"/>
  <c r="F178" i="5"/>
  <c r="F186" i="5"/>
  <c r="F194" i="5"/>
  <c r="F202" i="5"/>
  <c r="F210" i="5"/>
  <c r="F218" i="5"/>
  <c r="F226" i="5"/>
  <c r="F234" i="5"/>
  <c r="F242" i="5"/>
  <c r="F250" i="5"/>
  <c r="F258" i="5"/>
  <c r="F266" i="5"/>
  <c r="F274" i="5"/>
  <c r="F282" i="5"/>
  <c r="F287" i="5"/>
  <c r="F293" i="5"/>
  <c r="F298" i="5"/>
  <c r="F303" i="5"/>
  <c r="F309" i="5"/>
  <c r="F314" i="5"/>
  <c r="F319" i="5"/>
  <c r="F325" i="5"/>
  <c r="F330" i="5"/>
  <c r="F335" i="5"/>
  <c r="F341" i="5"/>
  <c r="F346" i="5"/>
  <c r="F350" i="5"/>
  <c r="F354" i="5"/>
  <c r="F358" i="5"/>
  <c r="F362" i="5"/>
  <c r="F366" i="5"/>
  <c r="F370" i="5"/>
  <c r="F374" i="5"/>
  <c r="F378" i="5"/>
  <c r="F382" i="5"/>
  <c r="F386" i="5"/>
  <c r="F390" i="5"/>
  <c r="F394" i="5"/>
  <c r="F398" i="5"/>
  <c r="F402" i="5"/>
  <c r="F406" i="5"/>
  <c r="F410" i="5"/>
  <c r="F414" i="5"/>
  <c r="F418" i="5"/>
  <c r="F422" i="5"/>
  <c r="F426" i="5"/>
  <c r="F430" i="5"/>
  <c r="F434" i="5"/>
  <c r="F438" i="5"/>
  <c r="F442" i="5"/>
  <c r="F446" i="5"/>
  <c r="F450" i="5"/>
  <c r="F454" i="5"/>
  <c r="F6" i="5"/>
  <c r="F13" i="5"/>
  <c r="F21" i="5"/>
  <c r="F29" i="5"/>
  <c r="F37" i="5"/>
  <c r="F45" i="5"/>
  <c r="K36" i="6" s="1"/>
  <c r="F53" i="5"/>
  <c r="F61" i="5"/>
  <c r="F69" i="5"/>
  <c r="F77" i="5"/>
  <c r="F85" i="5"/>
  <c r="F93" i="5"/>
  <c r="F101" i="5"/>
  <c r="F109" i="5"/>
  <c r="F117" i="5"/>
  <c r="F125" i="5"/>
  <c r="F133" i="5"/>
  <c r="F141" i="5"/>
  <c r="F149" i="5"/>
  <c r="F157" i="5"/>
  <c r="F165" i="5"/>
  <c r="F173" i="5"/>
  <c r="F181" i="5"/>
  <c r="F189" i="5"/>
  <c r="F197" i="5"/>
  <c r="F205" i="5"/>
  <c r="F221" i="5"/>
  <c r="F229" i="5"/>
  <c r="F237" i="5"/>
  <c r="F253" i="5"/>
  <c r="F269" i="5"/>
  <c r="F283" i="5"/>
  <c r="F289" i="5"/>
  <c r="F299" i="5"/>
  <c r="F310" i="5"/>
  <c r="F321" i="5"/>
  <c r="F331" i="5"/>
  <c r="F342" i="5"/>
  <c r="F351" i="5"/>
  <c r="F451" i="5"/>
  <c r="F443" i="5"/>
  <c r="F435" i="5"/>
  <c r="F427" i="5"/>
  <c r="F419" i="5"/>
  <c r="F411" i="5"/>
  <c r="F403" i="5"/>
  <c r="F395" i="5"/>
  <c r="F387" i="5"/>
  <c r="F379" i="5"/>
  <c r="F371" i="5"/>
  <c r="F363" i="5"/>
  <c r="F355" i="5"/>
  <c r="F338" i="5"/>
  <c r="F317" i="5"/>
  <c r="F295" i="5"/>
  <c r="F270" i="5"/>
  <c r="F238" i="5"/>
  <c r="F206" i="5"/>
  <c r="F174" i="5"/>
  <c r="F142" i="5"/>
  <c r="F110" i="5"/>
  <c r="F78" i="5"/>
  <c r="F46" i="5"/>
  <c r="F14" i="5"/>
  <c r="E79" i="4"/>
  <c r="AG47" i="16" s="1"/>
  <c r="M15" i="16" s="1"/>
  <c r="G140" i="4" s="1"/>
  <c r="G95" i="4"/>
  <c r="B32" i="8"/>
  <c r="B75" i="7"/>
  <c r="B64" i="7"/>
  <c r="B65" i="7"/>
  <c r="B66" i="7"/>
  <c r="B67" i="7"/>
  <c r="B68" i="7"/>
  <c r="B69" i="7"/>
  <c r="B70" i="7"/>
  <c r="B71" i="7"/>
  <c r="B72" i="7"/>
  <c r="B73" i="7"/>
  <c r="B74" i="7"/>
  <c r="K13" i="10"/>
  <c r="D119" i="4"/>
  <c r="BL134" i="4"/>
  <c r="M28" i="10"/>
  <c r="M29" i="10"/>
  <c r="M30" i="10"/>
  <c r="M31" i="10"/>
  <c r="M32" i="10"/>
  <c r="M27" i="10"/>
  <c r="M23" i="10"/>
  <c r="K23" i="10"/>
  <c r="M21" i="10"/>
  <c r="K21" i="10"/>
  <c r="M17" i="10"/>
  <c r="K17" i="10"/>
  <c r="M12" i="10"/>
  <c r="K12" i="10"/>
  <c r="M10" i="10"/>
  <c r="K10" i="10"/>
  <c r="M6" i="10"/>
  <c r="K6" i="10"/>
  <c r="B13" i="17"/>
  <c r="O131" i="4"/>
  <c r="E150" i="4" s="1"/>
  <c r="O130" i="4"/>
  <c r="F10" i="8"/>
  <c r="F76" i="4"/>
  <c r="D134" i="4"/>
  <c r="B113" i="4"/>
  <c r="E4" i="8"/>
  <c r="D149" i="4"/>
  <c r="K18" i="14"/>
  <c r="K19" i="14"/>
  <c r="T19" i="14"/>
  <c r="K20" i="14"/>
  <c r="T20" i="14"/>
  <c r="K21" i="14"/>
  <c r="T21" i="14"/>
  <c r="K22" i="14"/>
  <c r="T22" i="14"/>
  <c r="K39" i="14"/>
  <c r="K40" i="14"/>
  <c r="K41" i="14"/>
  <c r="K42" i="14"/>
  <c r="K43" i="14"/>
  <c r="AE46" i="16"/>
  <c r="AE48" i="16"/>
  <c r="H24" i="16"/>
  <c r="H21" i="16"/>
  <c r="H18" i="16"/>
  <c r="AB16" i="16"/>
  <c r="AF16" i="16" s="1"/>
  <c r="H12" i="16"/>
  <c r="AC47" i="16"/>
  <c r="H9" i="16"/>
  <c r="AC46" i="16" s="1"/>
  <c r="AC48" i="16" s="1"/>
  <c r="D115" i="4"/>
  <c r="D91" i="4"/>
  <c r="D117" i="4"/>
  <c r="AE46" i="15"/>
  <c r="AE48" i="15"/>
  <c r="AE49" i="15"/>
  <c r="H24" i="15"/>
  <c r="H21" i="15"/>
  <c r="H18" i="15"/>
  <c r="AB16" i="15"/>
  <c r="AB17" i="15" s="1"/>
  <c r="H12" i="15"/>
  <c r="AC47" i="15"/>
  <c r="H9" i="15"/>
  <c r="AC46" i="15" s="1"/>
  <c r="B31" i="8"/>
  <c r="B52" i="6"/>
  <c r="T3" i="14"/>
  <c r="T4" i="14"/>
  <c r="T5" i="14"/>
  <c r="T6" i="14"/>
  <c r="T7" i="14"/>
  <c r="T8" i="14"/>
  <c r="T9" i="14"/>
  <c r="T10" i="14"/>
  <c r="T11" i="14"/>
  <c r="T12" i="14"/>
  <c r="T16" i="14"/>
  <c r="T17" i="14"/>
  <c r="T2" i="14"/>
  <c r="Z12" i="14"/>
  <c r="K29" i="14"/>
  <c r="K30" i="14"/>
  <c r="K31" i="14"/>
  <c r="K32" i="14"/>
  <c r="K33" i="14"/>
  <c r="K34" i="14"/>
  <c r="K35" i="14"/>
  <c r="K36" i="14"/>
  <c r="K37" i="14"/>
  <c r="K38" i="14"/>
  <c r="K44" i="14"/>
  <c r="K45" i="14"/>
  <c r="K46" i="14"/>
  <c r="K47" i="14"/>
  <c r="K48" i="14"/>
  <c r="K49" i="14"/>
  <c r="K50" i="14"/>
  <c r="K51" i="14"/>
  <c r="K52" i="14"/>
  <c r="K53" i="14"/>
  <c r="K54" i="14"/>
  <c r="K55" i="14"/>
  <c r="K56" i="14"/>
  <c r="K57" i="14"/>
  <c r="K58" i="14"/>
  <c r="K59" i="14"/>
  <c r="K64" i="14"/>
  <c r="K63" i="14"/>
  <c r="K62" i="14"/>
  <c r="K61" i="14"/>
  <c r="K60" i="14"/>
  <c r="K23" i="14"/>
  <c r="K24" i="14"/>
  <c r="K25" i="14"/>
  <c r="K26" i="14"/>
  <c r="K27" i="14"/>
  <c r="K28" i="14"/>
  <c r="K4" i="14"/>
  <c r="K5" i="14"/>
  <c r="K6" i="14"/>
  <c r="K7" i="14"/>
  <c r="K8" i="14"/>
  <c r="K9" i="14"/>
  <c r="K10" i="14"/>
  <c r="K11" i="14"/>
  <c r="K12" i="14"/>
  <c r="K13" i="14"/>
  <c r="K14" i="14"/>
  <c r="K15" i="14"/>
  <c r="K16" i="14"/>
  <c r="K17" i="14"/>
  <c r="K3" i="14"/>
  <c r="K2" i="14"/>
  <c r="B12" i="6"/>
  <c r="B269" i="12"/>
  <c r="C269" i="12"/>
  <c r="B270" i="12"/>
  <c r="C270" i="12" s="1"/>
  <c r="B271" i="12"/>
  <c r="C271" i="12"/>
  <c r="B272" i="12"/>
  <c r="C272" i="12" s="1"/>
  <c r="B273" i="12"/>
  <c r="C273" i="12"/>
  <c r="B274" i="12"/>
  <c r="C274" i="12" s="1"/>
  <c r="B275" i="12"/>
  <c r="C275" i="12"/>
  <c r="B276" i="12"/>
  <c r="C276" i="12" s="1"/>
  <c r="B277" i="12"/>
  <c r="C277" i="12"/>
  <c r="B278" i="12"/>
  <c r="C278" i="12" s="1"/>
  <c r="B279" i="12"/>
  <c r="C279" i="12"/>
  <c r="B280" i="12"/>
  <c r="C280" i="12" s="1"/>
  <c r="B253" i="12"/>
  <c r="C253" i="12"/>
  <c r="B254" i="12"/>
  <c r="C254" i="12" s="1"/>
  <c r="B255" i="12"/>
  <c r="C255" i="12"/>
  <c r="B256" i="12"/>
  <c r="C256" i="12" s="1"/>
  <c r="B257" i="12"/>
  <c r="C257" i="12"/>
  <c r="B258" i="12"/>
  <c r="C258" i="12" s="1"/>
  <c r="B259" i="12"/>
  <c r="C259" i="12"/>
  <c r="B260" i="12"/>
  <c r="C260" i="12" s="1"/>
  <c r="B261" i="12"/>
  <c r="C261" i="12"/>
  <c r="B262" i="12"/>
  <c r="C262" i="12" s="1"/>
  <c r="B263" i="12"/>
  <c r="C263" i="12"/>
  <c r="B264" i="12"/>
  <c r="C264" i="12" s="1"/>
  <c r="B265" i="12"/>
  <c r="C265" i="12"/>
  <c r="B266" i="12"/>
  <c r="C266" i="12" s="1"/>
  <c r="B267" i="12"/>
  <c r="C267" i="12"/>
  <c r="B268" i="12"/>
  <c r="C268" i="12" s="1"/>
  <c r="B236" i="12"/>
  <c r="C236" i="12"/>
  <c r="B237" i="12"/>
  <c r="C237" i="12" s="1"/>
  <c r="B238" i="12"/>
  <c r="C238" i="12"/>
  <c r="B239" i="12"/>
  <c r="C239" i="12" s="1"/>
  <c r="B240" i="12"/>
  <c r="C240" i="12"/>
  <c r="B241" i="12"/>
  <c r="C241" i="12" s="1"/>
  <c r="B242" i="12"/>
  <c r="C242" i="12"/>
  <c r="B243" i="12"/>
  <c r="C243" i="12" s="1"/>
  <c r="B244" i="12"/>
  <c r="C244" i="12"/>
  <c r="B245" i="12"/>
  <c r="C245" i="12" s="1"/>
  <c r="B246" i="12"/>
  <c r="C246" i="12"/>
  <c r="B247" i="12"/>
  <c r="C247" i="12" s="1"/>
  <c r="B248" i="12"/>
  <c r="C248" i="12"/>
  <c r="B249" i="12"/>
  <c r="C249" i="12" s="1"/>
  <c r="B250" i="12"/>
  <c r="C250" i="12"/>
  <c r="B251" i="12"/>
  <c r="C251" i="12" s="1"/>
  <c r="B252" i="12"/>
  <c r="C252" i="12"/>
  <c r="B219" i="12"/>
  <c r="C219" i="12" s="1"/>
  <c r="B220" i="12"/>
  <c r="C220" i="12"/>
  <c r="B221" i="12"/>
  <c r="C221" i="12" s="1"/>
  <c r="B222" i="12"/>
  <c r="C222" i="12"/>
  <c r="B223" i="12"/>
  <c r="C223" i="12" s="1"/>
  <c r="B224" i="12"/>
  <c r="C224" i="12"/>
  <c r="B225" i="12"/>
  <c r="C225" i="12" s="1"/>
  <c r="B226" i="12"/>
  <c r="C226" i="12"/>
  <c r="B227" i="12"/>
  <c r="C227" i="12" s="1"/>
  <c r="B228" i="12"/>
  <c r="C228" i="12"/>
  <c r="B229" i="12"/>
  <c r="C229" i="12" s="1"/>
  <c r="B230" i="12"/>
  <c r="C230" i="12"/>
  <c r="B231" i="12"/>
  <c r="C231" i="12" s="1"/>
  <c r="B232" i="12"/>
  <c r="C232" i="12"/>
  <c r="B233" i="12"/>
  <c r="C233" i="12" s="1"/>
  <c r="B234" i="12"/>
  <c r="C234" i="12"/>
  <c r="B235" i="12"/>
  <c r="C235" i="12" s="1"/>
  <c r="B206" i="12"/>
  <c r="C206" i="12"/>
  <c r="B207" i="12"/>
  <c r="C207" i="12" s="1"/>
  <c r="B208" i="12"/>
  <c r="C208" i="12"/>
  <c r="B209" i="12"/>
  <c r="C209" i="12" s="1"/>
  <c r="B210" i="12"/>
  <c r="C210" i="12"/>
  <c r="B211" i="12"/>
  <c r="C211" i="12" s="1"/>
  <c r="B212" i="12"/>
  <c r="C212" i="12"/>
  <c r="B213" i="12"/>
  <c r="C213" i="12" s="1"/>
  <c r="B214" i="12"/>
  <c r="C214" i="12"/>
  <c r="B215" i="12"/>
  <c r="C215" i="12" s="1"/>
  <c r="B216" i="12"/>
  <c r="C216" i="12"/>
  <c r="B217" i="12"/>
  <c r="C217" i="12" s="1"/>
  <c r="B218" i="12"/>
  <c r="C218" i="12"/>
  <c r="B177" i="12"/>
  <c r="C177" i="12" s="1"/>
  <c r="B178" i="12"/>
  <c r="C178" i="12"/>
  <c r="B179" i="12"/>
  <c r="C179" i="12" s="1"/>
  <c r="B180" i="12"/>
  <c r="C180" i="12"/>
  <c r="B181" i="12"/>
  <c r="C181" i="12" s="1"/>
  <c r="B182" i="12"/>
  <c r="C182" i="12"/>
  <c r="B183" i="12"/>
  <c r="C183" i="12" s="1"/>
  <c r="B184" i="12"/>
  <c r="C184" i="12"/>
  <c r="B185" i="12"/>
  <c r="C185" i="12" s="1"/>
  <c r="B186" i="12"/>
  <c r="C186" i="12"/>
  <c r="B187" i="12"/>
  <c r="C187" i="12" s="1"/>
  <c r="B188" i="12"/>
  <c r="C188" i="12"/>
  <c r="B189" i="12"/>
  <c r="C189" i="12" s="1"/>
  <c r="B190" i="12"/>
  <c r="C190" i="12"/>
  <c r="B191" i="12"/>
  <c r="C191" i="12" s="1"/>
  <c r="B192" i="12"/>
  <c r="C192" i="12"/>
  <c r="B193" i="12"/>
  <c r="C193" i="12" s="1"/>
  <c r="B194" i="12"/>
  <c r="C194" i="12"/>
  <c r="B195" i="12"/>
  <c r="C195" i="12" s="1"/>
  <c r="B196" i="12"/>
  <c r="C196" i="12"/>
  <c r="B197" i="12"/>
  <c r="C197" i="12" s="1"/>
  <c r="B198" i="12"/>
  <c r="C198" i="12"/>
  <c r="B199" i="12"/>
  <c r="C199" i="12" s="1"/>
  <c r="B200" i="12"/>
  <c r="C200" i="12"/>
  <c r="B201" i="12"/>
  <c r="C201" i="12" s="1"/>
  <c r="B202" i="12"/>
  <c r="C202" i="12"/>
  <c r="B203" i="12"/>
  <c r="C203" i="12" s="1"/>
  <c r="B204" i="12"/>
  <c r="C204" i="12"/>
  <c r="B205" i="12"/>
  <c r="C205" i="12" s="1"/>
  <c r="B155" i="12"/>
  <c r="C155" i="12"/>
  <c r="B156" i="12"/>
  <c r="C156" i="12" s="1"/>
  <c r="B157" i="12"/>
  <c r="C157" i="12"/>
  <c r="B158" i="12"/>
  <c r="C158" i="12" s="1"/>
  <c r="B159" i="12"/>
  <c r="C159" i="12"/>
  <c r="B160" i="12"/>
  <c r="C160" i="12" s="1"/>
  <c r="B161" i="12"/>
  <c r="C161" i="12"/>
  <c r="B162" i="12"/>
  <c r="C162" i="12" s="1"/>
  <c r="B163" i="12"/>
  <c r="C163" i="12"/>
  <c r="B164" i="12"/>
  <c r="C164" i="12" s="1"/>
  <c r="B165" i="12"/>
  <c r="C165" i="12"/>
  <c r="B166" i="12"/>
  <c r="C166" i="12" s="1"/>
  <c r="B167" i="12"/>
  <c r="C167" i="12" s="1"/>
  <c r="B168" i="12"/>
  <c r="C168" i="12"/>
  <c r="B169" i="12"/>
  <c r="C169" i="12" s="1"/>
  <c r="B170" i="12"/>
  <c r="C170" i="12"/>
  <c r="B171" i="12"/>
  <c r="C171" i="12" s="1"/>
  <c r="B172" i="12"/>
  <c r="C172" i="12"/>
  <c r="B173" i="12"/>
  <c r="C173" i="12" s="1"/>
  <c r="B174" i="12"/>
  <c r="C174" i="12"/>
  <c r="B175" i="12"/>
  <c r="C175" i="12" s="1"/>
  <c r="B176" i="12"/>
  <c r="C176" i="12"/>
  <c r="B135" i="12"/>
  <c r="C135" i="12" s="1"/>
  <c r="B136" i="12"/>
  <c r="C136" i="12"/>
  <c r="B137" i="12"/>
  <c r="C137" i="12" s="1"/>
  <c r="B138" i="12"/>
  <c r="C138" i="12"/>
  <c r="B139" i="12"/>
  <c r="C139" i="12" s="1"/>
  <c r="B140" i="12"/>
  <c r="C140" i="12"/>
  <c r="B141" i="12"/>
  <c r="C141" i="12" s="1"/>
  <c r="B142" i="12"/>
  <c r="C142" i="12"/>
  <c r="B143" i="12"/>
  <c r="C143" i="12" s="1"/>
  <c r="B144" i="12"/>
  <c r="C144" i="12"/>
  <c r="B145" i="12"/>
  <c r="C145" i="12" s="1"/>
  <c r="B146" i="12"/>
  <c r="C146" i="12"/>
  <c r="B147" i="12"/>
  <c r="C147" i="12" s="1"/>
  <c r="B148" i="12"/>
  <c r="C148" i="12" s="1"/>
  <c r="B149" i="12"/>
  <c r="C149" i="12" s="1"/>
  <c r="B150" i="12"/>
  <c r="C150" i="12"/>
  <c r="B151" i="12"/>
  <c r="C151" i="12" s="1"/>
  <c r="B152" i="12"/>
  <c r="C152" i="12"/>
  <c r="B153" i="12"/>
  <c r="C153" i="12" s="1"/>
  <c r="B154" i="12"/>
  <c r="C154" i="12"/>
  <c r="B117" i="12"/>
  <c r="C117" i="12" s="1"/>
  <c r="B118" i="12"/>
  <c r="C118" i="12"/>
  <c r="B119" i="12"/>
  <c r="C119" i="12" s="1"/>
  <c r="B120" i="12"/>
  <c r="C120" i="12"/>
  <c r="B121" i="12"/>
  <c r="C121" i="12" s="1"/>
  <c r="B122" i="12"/>
  <c r="C122" i="12"/>
  <c r="B123" i="12"/>
  <c r="C123" i="12" s="1"/>
  <c r="B124" i="12"/>
  <c r="C124" i="12"/>
  <c r="B125" i="12"/>
  <c r="C125" i="12" s="1"/>
  <c r="B126" i="12"/>
  <c r="C126" i="12"/>
  <c r="B127" i="12"/>
  <c r="C127" i="12" s="1"/>
  <c r="B128" i="12"/>
  <c r="C128" i="12"/>
  <c r="B129" i="12"/>
  <c r="C129" i="12" s="1"/>
  <c r="B130" i="12"/>
  <c r="C130" i="12"/>
  <c r="B131" i="12"/>
  <c r="C131" i="12" s="1"/>
  <c r="B132" i="12"/>
  <c r="C132" i="12"/>
  <c r="B133" i="12"/>
  <c r="C133" i="12" s="1"/>
  <c r="B134" i="12"/>
  <c r="C134" i="12"/>
  <c r="B92" i="12"/>
  <c r="C92" i="12" s="1"/>
  <c r="B93" i="12"/>
  <c r="C93" i="12"/>
  <c r="B94" i="12"/>
  <c r="C94" i="12" s="1"/>
  <c r="B95" i="12"/>
  <c r="C95" i="12"/>
  <c r="B96" i="12"/>
  <c r="C96" i="12" s="1"/>
  <c r="B97" i="12"/>
  <c r="C97" i="12"/>
  <c r="B98" i="12"/>
  <c r="C98" i="12" s="1"/>
  <c r="B99" i="12"/>
  <c r="C99" i="12"/>
  <c r="B100" i="12"/>
  <c r="C100" i="12" s="1"/>
  <c r="B101" i="12"/>
  <c r="C101" i="12"/>
  <c r="B102" i="12"/>
  <c r="C102" i="12" s="1"/>
  <c r="B103" i="12"/>
  <c r="C103" i="12"/>
  <c r="B104" i="12"/>
  <c r="C104" i="12" s="1"/>
  <c r="B105" i="12"/>
  <c r="C105" i="12"/>
  <c r="B106" i="12"/>
  <c r="C106" i="12" s="1"/>
  <c r="B107" i="12"/>
  <c r="C107" i="12"/>
  <c r="B108" i="12"/>
  <c r="C108" i="12" s="1"/>
  <c r="B109" i="12"/>
  <c r="C109" i="12"/>
  <c r="B110" i="12"/>
  <c r="C110" i="12" s="1"/>
  <c r="B111" i="12"/>
  <c r="C111" i="12"/>
  <c r="B112" i="12"/>
  <c r="C112" i="12" s="1"/>
  <c r="B113" i="12"/>
  <c r="C113" i="12"/>
  <c r="B114" i="12"/>
  <c r="C114" i="12" s="1"/>
  <c r="B115" i="12"/>
  <c r="C115" i="12"/>
  <c r="B116" i="12"/>
  <c r="C116" i="12" s="1"/>
  <c r="B74" i="12"/>
  <c r="C74" i="12"/>
  <c r="B75" i="12"/>
  <c r="C75" i="12" s="1"/>
  <c r="B76" i="12"/>
  <c r="C76" i="12"/>
  <c r="B77" i="12"/>
  <c r="C77" i="12" s="1"/>
  <c r="B78" i="12"/>
  <c r="C78" i="12"/>
  <c r="B79" i="12"/>
  <c r="C79" i="12" s="1"/>
  <c r="B80" i="12"/>
  <c r="C80" i="12"/>
  <c r="B81" i="12"/>
  <c r="C81" i="12" s="1"/>
  <c r="B82" i="12"/>
  <c r="C82" i="12"/>
  <c r="B83" i="12"/>
  <c r="C83" i="12" s="1"/>
  <c r="B84" i="12"/>
  <c r="C84" i="12"/>
  <c r="B85" i="12"/>
  <c r="C85" i="12" s="1"/>
  <c r="B86" i="12"/>
  <c r="C86" i="12"/>
  <c r="B87" i="12"/>
  <c r="C87" i="12" s="1"/>
  <c r="B88" i="12"/>
  <c r="C88" i="12"/>
  <c r="B89" i="12"/>
  <c r="C89" i="12" s="1"/>
  <c r="B90" i="12"/>
  <c r="C90" i="12"/>
  <c r="B91" i="12"/>
  <c r="C91" i="12" s="1"/>
  <c r="B65" i="12"/>
  <c r="C65" i="12"/>
  <c r="B66" i="12"/>
  <c r="C66" i="12" s="1"/>
  <c r="B67" i="12"/>
  <c r="C67" i="12" s="1"/>
  <c r="B68" i="12"/>
  <c r="C68" i="12" s="1"/>
  <c r="B69" i="12"/>
  <c r="C69" i="12"/>
  <c r="B70" i="12"/>
  <c r="C70" i="12" s="1"/>
  <c r="B71" i="12"/>
  <c r="C71" i="12"/>
  <c r="B72" i="12"/>
  <c r="C72" i="12" s="1"/>
  <c r="B73" i="12"/>
  <c r="C73" i="12"/>
  <c r="B54" i="12"/>
  <c r="C54" i="12" s="1"/>
  <c r="B55" i="12"/>
  <c r="C55" i="12"/>
  <c r="B56" i="12"/>
  <c r="C56" i="12" s="1"/>
  <c r="B57" i="12"/>
  <c r="C57" i="12"/>
  <c r="B58" i="12"/>
  <c r="C58" i="12" s="1"/>
  <c r="B59" i="12"/>
  <c r="C59" i="12"/>
  <c r="B60" i="12"/>
  <c r="C60" i="12" s="1"/>
  <c r="B61" i="12"/>
  <c r="C61" i="12"/>
  <c r="B62" i="12"/>
  <c r="C62" i="12" s="1"/>
  <c r="B63" i="12"/>
  <c r="C63" i="12"/>
  <c r="B64" i="12"/>
  <c r="C64" i="12" s="1"/>
  <c r="B53" i="12"/>
  <c r="C53" i="12"/>
  <c r="B46" i="12"/>
  <c r="B47" i="12"/>
  <c r="B48" i="12"/>
  <c r="B49" i="12"/>
  <c r="B50" i="12"/>
  <c r="B51" i="12"/>
  <c r="B35" i="12"/>
  <c r="B36" i="12"/>
  <c r="B37" i="12"/>
  <c r="B38" i="12"/>
  <c r="B39" i="12"/>
  <c r="B40" i="12"/>
  <c r="B41" i="12"/>
  <c r="B42" i="12"/>
  <c r="B43" i="12"/>
  <c r="B44" i="12"/>
  <c r="B45" i="12"/>
  <c r="B18" i="12"/>
  <c r="B19" i="12"/>
  <c r="B20" i="12"/>
  <c r="B21" i="12"/>
  <c r="B22" i="12"/>
  <c r="B23" i="12"/>
  <c r="B24" i="12"/>
  <c r="B25" i="12"/>
  <c r="B26" i="12"/>
  <c r="B27" i="12"/>
  <c r="B28" i="12"/>
  <c r="B29" i="12"/>
  <c r="B30" i="12"/>
  <c r="B31" i="12"/>
  <c r="B32" i="12"/>
  <c r="B33" i="12"/>
  <c r="B34" i="12"/>
  <c r="B10" i="12"/>
  <c r="B11" i="12"/>
  <c r="B12" i="12"/>
  <c r="B13" i="12"/>
  <c r="B14" i="12"/>
  <c r="B15" i="12"/>
  <c r="B16" i="12"/>
  <c r="B17" i="12"/>
  <c r="B3" i="12"/>
  <c r="B4" i="12"/>
  <c r="B5" i="12"/>
  <c r="B6" i="12"/>
  <c r="B7" i="12"/>
  <c r="B8" i="12"/>
  <c r="B9" i="12"/>
  <c r="B2" i="12"/>
  <c r="C12" i="10"/>
  <c r="E3" i="10"/>
  <c r="E28" i="8"/>
  <c r="K14" i="10"/>
  <c r="K15" i="10"/>
  <c r="K16" i="10"/>
  <c r="I49" i="6"/>
  <c r="AP123" i="4"/>
  <c r="F93" i="4"/>
  <c r="D16" i="8"/>
  <c r="C16" i="8" s="1"/>
  <c r="C451" i="5"/>
  <c r="M3" i="10"/>
  <c r="M4" i="10"/>
  <c r="M5" i="10"/>
  <c r="M7" i="10"/>
  <c r="M8" i="10"/>
  <c r="M9" i="10"/>
  <c r="M11" i="10"/>
  <c r="M13" i="10"/>
  <c r="M14" i="10"/>
  <c r="M15" i="10"/>
  <c r="M16" i="10"/>
  <c r="M18" i="10"/>
  <c r="M19" i="10"/>
  <c r="M20" i="10"/>
  <c r="M22" i="10"/>
  <c r="M2" i="10"/>
  <c r="T7" i="6"/>
  <c r="T6" i="6"/>
  <c r="C456" i="5"/>
  <c r="C457" i="5"/>
  <c r="C450" i="5"/>
  <c r="C452" i="5"/>
  <c r="C453" i="5"/>
  <c r="C454" i="5"/>
  <c r="C447" i="5"/>
  <c r="C448" i="5"/>
  <c r="C449" i="5"/>
  <c r="C446" i="5"/>
  <c r="C445" i="5"/>
  <c r="C444" i="5"/>
  <c r="K3" i="10"/>
  <c r="K4" i="10"/>
  <c r="K5" i="10"/>
  <c r="K7" i="10"/>
  <c r="K8" i="10"/>
  <c r="K9" i="10"/>
  <c r="K11" i="10"/>
  <c r="K18" i="10"/>
  <c r="K19" i="10"/>
  <c r="K20" i="10"/>
  <c r="K22" i="10"/>
  <c r="K2" i="10"/>
  <c r="K36" i="10"/>
  <c r="K31" i="10"/>
  <c r="K30" i="10"/>
  <c r="K29" i="10"/>
  <c r="K32" i="10"/>
  <c r="K27" i="10"/>
  <c r="B39" i="6"/>
  <c r="BJ147" i="4"/>
  <c r="BG133" i="4" s="1"/>
  <c r="B17" i="7"/>
  <c r="C43" i="4" s="1"/>
  <c r="BJ142" i="4"/>
  <c r="BB133" i="4" s="1"/>
  <c r="BJ143" i="4"/>
  <c r="BC133" i="4" s="1"/>
  <c r="BJ144" i="4"/>
  <c r="BD133" i="4" s="1"/>
  <c r="BJ145" i="4"/>
  <c r="BE133" i="4" s="1"/>
  <c r="BJ146" i="4"/>
  <c r="BF133" i="4" s="1"/>
  <c r="B519" i="7"/>
  <c r="G33" i="4"/>
  <c r="W42" i="4"/>
  <c r="V27" i="4"/>
  <c r="V33" i="4"/>
  <c r="V34" i="4"/>
  <c r="V35" i="4"/>
  <c r="V36" i="4"/>
  <c r="V37" i="4"/>
  <c r="V38" i="4"/>
  <c r="V39" i="4"/>
  <c r="V32" i="4"/>
  <c r="V31" i="4"/>
  <c r="C69" i="4"/>
  <c r="M55" i="1"/>
  <c r="B6" i="7"/>
  <c r="G6" i="16" s="1"/>
  <c r="V48" i="4"/>
  <c r="V28" i="4"/>
  <c r="V29" i="4"/>
  <c r="V30" i="4"/>
  <c r="V57" i="4"/>
  <c r="W57" i="4"/>
  <c r="X57" i="4" s="1"/>
  <c r="Y57" i="4" s="1"/>
  <c r="Z57" i="4"/>
  <c r="AA57" i="4" s="1"/>
  <c r="AB57" i="4" s="1"/>
  <c r="AC57" i="4" s="1"/>
  <c r="AD57" i="4" s="1"/>
  <c r="AE57" i="4" s="1"/>
  <c r="AF57" i="4" s="1"/>
  <c r="AG57" i="4" s="1"/>
  <c r="AH57" i="4" s="1"/>
  <c r="AI57" i="4" s="1"/>
  <c r="AJ57" i="4" s="1"/>
  <c r="AK57" i="4" s="1"/>
  <c r="AL57" i="4" s="1"/>
  <c r="AM57" i="4" s="1"/>
  <c r="AN57" i="4" s="1"/>
  <c r="AO57" i="4" s="1"/>
  <c r="AP57" i="4" s="1"/>
  <c r="AQ57" i="4" s="1"/>
  <c r="AR57" i="4" s="1"/>
  <c r="AS57" i="4" s="1"/>
  <c r="AT57" i="4" s="1"/>
  <c r="AU57" i="4" s="1"/>
  <c r="AV57" i="4" s="1"/>
  <c r="AW57" i="4" s="1"/>
  <c r="AX57" i="4" s="1"/>
  <c r="AY57" i="4" s="1"/>
  <c r="AZ57" i="4" s="1"/>
  <c r="BA57" i="4" s="1"/>
  <c r="BB57" i="4" s="1"/>
  <c r="BC57" i="4" s="1"/>
  <c r="BD57" i="4" s="1"/>
  <c r="BE57" i="4" s="1"/>
  <c r="BF57" i="4" s="1"/>
  <c r="BH57" i="4" s="1"/>
  <c r="BI57" i="4" s="1"/>
  <c r="BJ57" i="4" s="1"/>
  <c r="BK57" i="4" s="1"/>
  <c r="BL57" i="4" s="1"/>
  <c r="BM57" i="4" s="1"/>
  <c r="BN57" i="4" s="1"/>
  <c r="BO57" i="4" s="1"/>
  <c r="BP57" i="4" s="1"/>
  <c r="BQ57" i="4" s="1"/>
  <c r="BR57" i="4" s="1"/>
  <c r="BS57" i="4" s="1"/>
  <c r="BT57" i="4" s="1"/>
  <c r="BU57" i="4" s="1"/>
  <c r="BV57" i="4" s="1"/>
  <c r="BW57" i="4" s="1"/>
  <c r="BX57" i="4" s="1"/>
  <c r="BY57" i="4" s="1"/>
  <c r="BZ57" i="4" s="1"/>
  <c r="CA57" i="4" s="1"/>
  <c r="CB57" i="4" s="1"/>
  <c r="CC57" i="4" s="1"/>
  <c r="CD57" i="4" s="1"/>
  <c r="CE57" i="4" s="1"/>
  <c r="CF57" i="4" s="1"/>
  <c r="CG57" i="4" s="1"/>
  <c r="CH57" i="4" s="1"/>
  <c r="CI57" i="4" s="1"/>
  <c r="CJ57" i="4" s="1"/>
  <c r="CK57" i="4" s="1"/>
  <c r="CL57" i="4" s="1"/>
  <c r="CM57" i="4" s="1"/>
  <c r="CN57" i="4" s="1"/>
  <c r="CO57" i="4" s="1"/>
  <c r="CP57" i="4" s="1"/>
  <c r="CQ57" i="4" s="1"/>
  <c r="CR57" i="4" s="1"/>
  <c r="CS57" i="4" s="1"/>
  <c r="CT57" i="4" s="1"/>
  <c r="CU57" i="4" s="1"/>
  <c r="CV57" i="4" s="1"/>
  <c r="CW57" i="4" s="1"/>
  <c r="CX57" i="4" s="1"/>
  <c r="CY57" i="4" s="1"/>
  <c r="CZ57" i="4" s="1"/>
  <c r="DA57" i="4" s="1"/>
  <c r="DB57" i="4" s="1"/>
  <c r="DC57" i="4" s="1"/>
  <c r="DD57" i="4" s="1"/>
  <c r="DE57" i="4" s="1"/>
  <c r="DF57" i="4" s="1"/>
  <c r="DG57" i="4" s="1"/>
  <c r="DH57" i="4" s="1"/>
  <c r="DI57" i="4" s="1"/>
  <c r="DJ57" i="4" s="1"/>
  <c r="DK57" i="4" s="1"/>
  <c r="DL57" i="4" s="1"/>
  <c r="DM57" i="4" s="1"/>
  <c r="DN57" i="4" s="1"/>
  <c r="DO57" i="4" s="1"/>
  <c r="DP57" i="4" s="1"/>
  <c r="DQ57" i="4" s="1"/>
  <c r="DR57" i="4" s="1"/>
  <c r="DS57" i="4" s="1"/>
  <c r="DT57" i="4" s="1"/>
  <c r="DU57" i="4" s="1"/>
  <c r="DV57" i="4" s="1"/>
  <c r="DW57" i="4" s="1"/>
  <c r="DX57" i="4" s="1"/>
  <c r="DY57" i="4" s="1"/>
  <c r="DZ57" i="4" s="1"/>
  <c r="EA57" i="4" s="1"/>
  <c r="EB57" i="4" s="1"/>
  <c r="EC57" i="4" s="1"/>
  <c r="ED57" i="4" s="1"/>
  <c r="EE57" i="4" s="1"/>
  <c r="EF57" i="4" s="1"/>
  <c r="EG57" i="4" s="1"/>
  <c r="EH57" i="4" s="1"/>
  <c r="EI57" i="4" s="1"/>
  <c r="EJ57" i="4" s="1"/>
  <c r="EK57" i="4" s="1"/>
  <c r="EL57" i="4" s="1"/>
  <c r="G63" i="1"/>
  <c r="G64" i="1" s="1"/>
  <c r="G65" i="1" s="1"/>
  <c r="G66" i="1" s="1"/>
  <c r="G67" i="1" s="1"/>
  <c r="G68" i="1" s="1"/>
  <c r="G69" i="1" s="1"/>
  <c r="G70" i="1" s="1"/>
  <c r="G71" i="1" s="1"/>
  <c r="G72" i="1" s="1"/>
  <c r="G73" i="1" s="1"/>
  <c r="G74" i="1" s="1"/>
  <c r="G75" i="1" s="1"/>
  <c r="G76" i="1" s="1"/>
  <c r="G77" i="1" s="1"/>
  <c r="G78" i="1" s="1"/>
  <c r="G79" i="1" s="1"/>
  <c r="G80" i="1" s="1"/>
  <c r="G81" i="1" s="1"/>
  <c r="G82" i="1" s="1"/>
  <c r="G83" i="1" s="1"/>
  <c r="G84" i="1" s="1"/>
  <c r="G85" i="1" s="1"/>
  <c r="G86" i="1" s="1"/>
  <c r="G87" i="1" s="1"/>
  <c r="G88" i="1" s="1"/>
  <c r="G89" i="1" s="1"/>
  <c r="G90" i="1" s="1"/>
  <c r="G91" i="1" s="1"/>
  <c r="G92" i="1" s="1"/>
  <c r="G93" i="1" s="1"/>
  <c r="G94" i="1" s="1"/>
  <c r="G95" i="1" s="1"/>
  <c r="G96" i="1" s="1"/>
  <c r="G97" i="1" s="1"/>
  <c r="G98" i="1" s="1"/>
  <c r="G99" i="1" s="1"/>
  <c r="G100" i="1" s="1"/>
  <c r="G101" i="1" s="1"/>
  <c r="G102" i="1" s="1"/>
  <c r="B12" i="1"/>
  <c r="E6" i="1" s="1"/>
  <c r="M6" i="1"/>
  <c r="W67" i="4"/>
  <c r="W66" i="4"/>
  <c r="AK66" i="4"/>
  <c r="BI131" i="4"/>
  <c r="AX131" i="4"/>
  <c r="AX133" i="4" s="1"/>
  <c r="G98" i="4" s="1"/>
  <c r="K41" i="4"/>
  <c r="F42" i="4"/>
  <c r="C6" i="8" s="1"/>
  <c r="K36" i="4"/>
  <c r="F41" i="4"/>
  <c r="B6" i="8" s="1"/>
  <c r="F37" i="4"/>
  <c r="C4" i="8" s="1"/>
  <c r="F36" i="4"/>
  <c r="B4" i="8" s="1"/>
  <c r="G93" i="4"/>
  <c r="D101" i="4"/>
  <c r="D96" i="4"/>
  <c r="AA28" i="4"/>
  <c r="B3" i="7"/>
  <c r="B4" i="7"/>
  <c r="B5" i="7"/>
  <c r="B7" i="7"/>
  <c r="C40" i="4" s="1"/>
  <c r="B5" i="8" s="1"/>
  <c r="B8" i="7"/>
  <c r="F33" i="4" s="1"/>
  <c r="B9" i="7"/>
  <c r="C36" i="4" s="1"/>
  <c r="B10" i="7"/>
  <c r="H8" i="15" s="1"/>
  <c r="B11" i="7"/>
  <c r="H41" i="4" s="1"/>
  <c r="B12" i="7"/>
  <c r="B13" i="7"/>
  <c r="B46" i="4" s="1"/>
  <c r="B14" i="7"/>
  <c r="C74" i="4" s="1"/>
  <c r="B15" i="7"/>
  <c r="H23" i="16" s="1"/>
  <c r="B16" i="7"/>
  <c r="C76" i="4" s="1"/>
  <c r="B18" i="7"/>
  <c r="H17" i="15" s="1"/>
  <c r="B19" i="7"/>
  <c r="C78" i="4" s="1"/>
  <c r="B20" i="7"/>
  <c r="C79" i="4" s="1"/>
  <c r="B21" i="7"/>
  <c r="B84" i="4" s="1"/>
  <c r="B22" i="7"/>
  <c r="B23" i="7"/>
  <c r="B24" i="7"/>
  <c r="B25" i="7"/>
  <c r="B29" i="6" s="1"/>
  <c r="B26" i="7"/>
  <c r="J10" i="6" s="1"/>
  <c r="B27" i="7"/>
  <c r="B10" i="6" s="1"/>
  <c r="B28" i="7"/>
  <c r="B29" i="7"/>
  <c r="K30" i="6" s="1"/>
  <c r="B30" i="7"/>
  <c r="E26" i="8" s="1"/>
  <c r="B31" i="7"/>
  <c r="H39" i="6" s="1"/>
  <c r="B32" i="7"/>
  <c r="B33" i="7"/>
  <c r="B34" i="7"/>
  <c r="B43" i="6" s="1"/>
  <c r="C43" i="6" s="1"/>
  <c r="B35" i="7"/>
  <c r="B36" i="7"/>
  <c r="J46" i="6" s="1"/>
  <c r="B37" i="7"/>
  <c r="B38" i="7"/>
  <c r="B39" i="7"/>
  <c r="B40" i="7"/>
  <c r="B41" i="7"/>
  <c r="B10" i="8" s="1"/>
  <c r="B42" i="7"/>
  <c r="D10" i="8" s="1"/>
  <c r="B43" i="7"/>
  <c r="B44" i="7"/>
  <c r="B5" i="6" s="1"/>
  <c r="B45" i="7"/>
  <c r="C8" i="15" s="1"/>
  <c r="B46" i="7"/>
  <c r="B19" i="6" s="1"/>
  <c r="B47" i="7"/>
  <c r="B24" i="6" s="1"/>
  <c r="B48" i="7"/>
  <c r="B49" i="7"/>
  <c r="AA144" i="4" s="1"/>
  <c r="B50" i="7"/>
  <c r="B51" i="7"/>
  <c r="D130" i="4" s="1"/>
  <c r="B52" i="7"/>
  <c r="B86" i="4" s="1"/>
  <c r="B53" i="7"/>
  <c r="B30" i="4" s="1"/>
  <c r="B54" i="7"/>
  <c r="B71" i="4" s="1"/>
  <c r="B55" i="7"/>
  <c r="B89" i="4" s="1"/>
  <c r="B56" i="7"/>
  <c r="D155" i="4" s="1"/>
  <c r="B57" i="7"/>
  <c r="C11" i="15" s="1"/>
  <c r="B58" i="7"/>
  <c r="C14" i="15" s="1"/>
  <c r="B59" i="7"/>
  <c r="D125" i="4" s="1"/>
  <c r="B60" i="7"/>
  <c r="G125" i="4" s="1"/>
  <c r="B61" i="7"/>
  <c r="D122" i="4" s="1"/>
  <c r="B62" i="7"/>
  <c r="L25" i="15" s="1"/>
  <c r="B63" i="7"/>
  <c r="A7" i="5"/>
  <c r="A8" i="5" s="1"/>
  <c r="A9" i="5" s="1"/>
  <c r="A10" i="5" s="1"/>
  <c r="A11" i="5" s="1"/>
  <c r="A12" i="5" s="1"/>
  <c r="A13" i="5" s="1"/>
  <c r="A14" i="5" s="1"/>
  <c r="A15" i="5" s="1"/>
  <c r="A16" i="5" s="1"/>
  <c r="A17" i="5" s="1"/>
  <c r="A18" i="5" s="1"/>
  <c r="A19" i="5" s="1"/>
  <c r="A20" i="5" s="1"/>
  <c r="A21" i="5" s="1"/>
  <c r="A22" i="5" s="1"/>
  <c r="A23" i="5" s="1"/>
  <c r="A24" i="5" s="1"/>
  <c r="A25" i="5" s="1"/>
  <c r="A26" i="5" s="1"/>
  <c r="A27" i="5" s="1"/>
  <c r="A28" i="5" s="1"/>
  <c r="A29" i="5" s="1"/>
  <c r="A30" i="5" s="1"/>
  <c r="A31" i="5" s="1"/>
  <c r="A32" i="5" s="1"/>
  <c r="A33" i="5" s="1"/>
  <c r="A34" i="5" s="1"/>
  <c r="A35" i="5" s="1"/>
  <c r="A36" i="5" s="1"/>
  <c r="A37" i="5" s="1"/>
  <c r="A38" i="5" s="1"/>
  <c r="A39" i="5" s="1"/>
  <c r="A40" i="5" s="1"/>
  <c r="A41" i="5" s="1"/>
  <c r="A42" i="5" s="1"/>
  <c r="A43" i="5" s="1"/>
  <c r="A44" i="5" s="1"/>
  <c r="A45" i="5" s="1"/>
  <c r="A46" i="5" s="1"/>
  <c r="A47" i="5" s="1"/>
  <c r="A48" i="5" s="1"/>
  <c r="A49" i="5" s="1"/>
  <c r="A50" i="5" s="1"/>
  <c r="A51" i="5" s="1"/>
  <c r="A52" i="5" s="1"/>
  <c r="A53" i="5" s="1"/>
  <c r="A54" i="5" s="1"/>
  <c r="A55" i="5" s="1"/>
  <c r="A56" i="5" s="1"/>
  <c r="A57" i="5" s="1"/>
  <c r="A58" i="5" s="1"/>
  <c r="A59" i="5" s="1"/>
  <c r="A60" i="5" s="1"/>
  <c r="A61" i="5" s="1"/>
  <c r="A62" i="5" s="1"/>
  <c r="A63" i="5" s="1"/>
  <c r="A64" i="5" s="1"/>
  <c r="A65" i="5" s="1"/>
  <c r="A66" i="5" s="1"/>
  <c r="A67" i="5" s="1"/>
  <c r="A68" i="5" s="1"/>
  <c r="A69" i="5" s="1"/>
  <c r="A70" i="5" s="1"/>
  <c r="A71" i="5" s="1"/>
  <c r="A72" i="5" s="1"/>
  <c r="A73" i="5" s="1"/>
  <c r="A74" i="5" s="1"/>
  <c r="A75" i="5" s="1"/>
  <c r="A76" i="5" s="1"/>
  <c r="A77" i="5" s="1"/>
  <c r="A78" i="5" s="1"/>
  <c r="A79" i="5" s="1"/>
  <c r="A80" i="5" s="1"/>
  <c r="A81" i="5" s="1"/>
  <c r="A82" i="5" s="1"/>
  <c r="A83" i="5" s="1"/>
  <c r="A84" i="5" s="1"/>
  <c r="A85" i="5" s="1"/>
  <c r="A86" i="5" s="1"/>
  <c r="A87" i="5" s="1"/>
  <c r="A88" i="5" s="1"/>
  <c r="A89" i="5" s="1"/>
  <c r="A90" i="5" s="1"/>
  <c r="A91" i="5" s="1"/>
  <c r="A92" i="5" s="1"/>
  <c r="A93" i="5" s="1"/>
  <c r="A94" i="5" s="1"/>
  <c r="A95" i="5" s="1"/>
  <c r="A96" i="5" s="1"/>
  <c r="A97" i="5" s="1"/>
  <c r="A98" i="5" s="1"/>
  <c r="A99" i="5" s="1"/>
  <c r="A100" i="5" s="1"/>
  <c r="A101" i="5" s="1"/>
  <c r="A102" i="5" s="1"/>
  <c r="A103" i="5" s="1"/>
  <c r="A104" i="5" s="1"/>
  <c r="A105" i="5" s="1"/>
  <c r="A106" i="5" s="1"/>
  <c r="A107" i="5" s="1"/>
  <c r="A108" i="5" s="1"/>
  <c r="A109" i="5" s="1"/>
  <c r="A110" i="5" s="1"/>
  <c r="A111" i="5" s="1"/>
  <c r="A112" i="5" s="1"/>
  <c r="A113" i="5" s="1"/>
  <c r="A114" i="5" s="1"/>
  <c r="A115" i="5" s="1"/>
  <c r="A116" i="5" s="1"/>
  <c r="A117" i="5" s="1"/>
  <c r="A118" i="5" s="1"/>
  <c r="A119" i="5" s="1"/>
  <c r="A120" i="5" s="1"/>
  <c r="A121" i="5" s="1"/>
  <c r="A122" i="5" s="1"/>
  <c r="A123" i="5" s="1"/>
  <c r="A124" i="5" s="1"/>
  <c r="A125" i="5" s="1"/>
  <c r="A126" i="5" s="1"/>
  <c r="A127" i="5" s="1"/>
  <c r="A128" i="5" s="1"/>
  <c r="A129" i="5" s="1"/>
  <c r="A130" i="5" s="1"/>
  <c r="A131" i="5" s="1"/>
  <c r="A132" i="5" s="1"/>
  <c r="A133" i="5" s="1"/>
  <c r="A134" i="5" s="1"/>
  <c r="A135" i="5" s="1"/>
  <c r="A136" i="5" s="1"/>
  <c r="A137" i="5" s="1"/>
  <c r="A138" i="5" s="1"/>
  <c r="A139" i="5" s="1"/>
  <c r="A140" i="5" s="1"/>
  <c r="A141" i="5" s="1"/>
  <c r="A142" i="5" s="1"/>
  <c r="A143" i="5" s="1"/>
  <c r="A144" i="5" s="1"/>
  <c r="A145" i="5" s="1"/>
  <c r="A146" i="5" s="1"/>
  <c r="A147" i="5" s="1"/>
  <c r="A148" i="5" s="1"/>
  <c r="A149" i="5" s="1"/>
  <c r="A150" i="5" s="1"/>
  <c r="A151" i="5" s="1"/>
  <c r="A152" i="5" s="1"/>
  <c r="A153" i="5" s="1"/>
  <c r="A154" i="5" s="1"/>
  <c r="A155" i="5" s="1"/>
  <c r="A156" i="5" s="1"/>
  <c r="A157" i="5" s="1"/>
  <c r="A158" i="5" s="1"/>
  <c r="A159" i="5" s="1"/>
  <c r="A160" i="5" s="1"/>
  <c r="A161" i="5" s="1"/>
  <c r="A162" i="5" s="1"/>
  <c r="A163" i="5" s="1"/>
  <c r="A164" i="5" s="1"/>
  <c r="A165" i="5" s="1"/>
  <c r="A166" i="5" s="1"/>
  <c r="A167" i="5" s="1"/>
  <c r="A168" i="5" s="1"/>
  <c r="A169" i="5" s="1"/>
  <c r="A170" i="5" s="1"/>
  <c r="A171" i="5" s="1"/>
  <c r="A172" i="5" s="1"/>
  <c r="A173" i="5" s="1"/>
  <c r="A174" i="5" s="1"/>
  <c r="A175" i="5" s="1"/>
  <c r="A176" i="5" s="1"/>
  <c r="A177" i="5" s="1"/>
  <c r="A178" i="5" s="1"/>
  <c r="A179" i="5" s="1"/>
  <c r="A180" i="5" s="1"/>
  <c r="A181" i="5" s="1"/>
  <c r="A182" i="5" s="1"/>
  <c r="A183" i="5" s="1"/>
  <c r="A184" i="5" s="1"/>
  <c r="A185" i="5" s="1"/>
  <c r="A186" i="5" s="1"/>
  <c r="A187" i="5" s="1"/>
  <c r="A188" i="5" s="1"/>
  <c r="A189" i="5" s="1"/>
  <c r="A190" i="5" s="1"/>
  <c r="A191" i="5" s="1"/>
  <c r="A192" i="5" s="1"/>
  <c r="A193" i="5" s="1"/>
  <c r="A194" i="5" s="1"/>
  <c r="A195" i="5" s="1"/>
  <c r="A196" i="5" s="1"/>
  <c r="A197" i="5" s="1"/>
  <c r="A198" i="5" s="1"/>
  <c r="A199" i="5" s="1"/>
  <c r="A200" i="5" s="1"/>
  <c r="A201" i="5" s="1"/>
  <c r="A202" i="5" s="1"/>
  <c r="A203" i="5" s="1"/>
  <c r="A204" i="5" s="1"/>
  <c r="A205" i="5" s="1"/>
  <c r="A206" i="5" s="1"/>
  <c r="A207" i="5" s="1"/>
  <c r="A208" i="5" s="1"/>
  <c r="A209" i="5" s="1"/>
  <c r="A210" i="5" s="1"/>
  <c r="A211" i="5" s="1"/>
  <c r="A212" i="5" s="1"/>
  <c r="A213" i="5" s="1"/>
  <c r="A214" i="5" s="1"/>
  <c r="A215" i="5" s="1"/>
  <c r="A216" i="5" s="1"/>
  <c r="A217" i="5" s="1"/>
  <c r="A218" i="5" s="1"/>
  <c r="A219" i="5" s="1"/>
  <c r="A220" i="5" s="1"/>
  <c r="A221" i="5" s="1"/>
  <c r="A222" i="5" s="1"/>
  <c r="A223" i="5" s="1"/>
  <c r="A224" i="5" s="1"/>
  <c r="A225" i="5" s="1"/>
  <c r="A226" i="5" s="1"/>
  <c r="A227" i="5" s="1"/>
  <c r="A228" i="5" s="1"/>
  <c r="A229" i="5" s="1"/>
  <c r="A230" i="5" s="1"/>
  <c r="A231" i="5" s="1"/>
  <c r="A232" i="5" s="1"/>
  <c r="A233" i="5" s="1"/>
  <c r="A234" i="5" s="1"/>
  <c r="A235" i="5" s="1"/>
  <c r="A236" i="5" s="1"/>
  <c r="A237" i="5" s="1"/>
  <c r="A238" i="5" s="1"/>
  <c r="A239" i="5" s="1"/>
  <c r="A240" i="5" s="1"/>
  <c r="A241" i="5" s="1"/>
  <c r="A242" i="5" s="1"/>
  <c r="A243" i="5" s="1"/>
  <c r="A244" i="5" s="1"/>
  <c r="A245" i="5" s="1"/>
  <c r="A246" i="5" s="1"/>
  <c r="A247" i="5" s="1"/>
  <c r="A248" i="5" s="1"/>
  <c r="A249" i="5" s="1"/>
  <c r="A250" i="5" s="1"/>
  <c r="A251" i="5" s="1"/>
  <c r="A252" i="5" s="1"/>
  <c r="A253" i="5" s="1"/>
  <c r="A254" i="5" s="1"/>
  <c r="A255" i="5" s="1"/>
  <c r="A256" i="5" s="1"/>
  <c r="A257" i="5" s="1"/>
  <c r="A258" i="5" s="1"/>
  <c r="A259" i="5" s="1"/>
  <c r="A260" i="5" s="1"/>
  <c r="A261" i="5" s="1"/>
  <c r="A262" i="5" s="1"/>
  <c r="A263" i="5" s="1"/>
  <c r="A264" i="5" s="1"/>
  <c r="A265" i="5" s="1"/>
  <c r="A266" i="5" s="1"/>
  <c r="A267" i="5" s="1"/>
  <c r="A268" i="5" s="1"/>
  <c r="A269" i="5" s="1"/>
  <c r="A270" i="5" s="1"/>
  <c r="A271" i="5" s="1"/>
  <c r="A272" i="5" s="1"/>
  <c r="A273" i="5" s="1"/>
  <c r="A274" i="5" s="1"/>
  <c r="A275" i="5" s="1"/>
  <c r="A276" i="5" s="1"/>
  <c r="A277" i="5" s="1"/>
  <c r="A278" i="5" s="1"/>
  <c r="A279" i="5" s="1"/>
  <c r="A280" i="5" s="1"/>
  <c r="A281" i="5" s="1"/>
  <c r="A282" i="5" s="1"/>
  <c r="A283" i="5" s="1"/>
  <c r="A284" i="5" s="1"/>
  <c r="A285" i="5" s="1"/>
  <c r="A286" i="5" s="1"/>
  <c r="A287" i="5" s="1"/>
  <c r="A288" i="5" s="1"/>
  <c r="A289" i="5" s="1"/>
  <c r="A290" i="5" s="1"/>
  <c r="A291" i="5" s="1"/>
  <c r="A292" i="5" s="1"/>
  <c r="A293" i="5" s="1"/>
  <c r="A294" i="5" s="1"/>
  <c r="A295" i="5" s="1"/>
  <c r="A296" i="5" s="1"/>
  <c r="A297" i="5" s="1"/>
  <c r="A298" i="5" s="1"/>
  <c r="A299" i="5" s="1"/>
  <c r="A300" i="5" s="1"/>
  <c r="A301" i="5" s="1"/>
  <c r="A302" i="5" s="1"/>
  <c r="A303" i="5" s="1"/>
  <c r="A304" i="5" s="1"/>
  <c r="A305" i="5" s="1"/>
  <c r="A306" i="5" s="1"/>
  <c r="A307" i="5" s="1"/>
  <c r="A308" i="5" s="1"/>
  <c r="A309" i="5" s="1"/>
  <c r="A310" i="5" s="1"/>
  <c r="A311" i="5" s="1"/>
  <c r="A312" i="5" s="1"/>
  <c r="A313" i="5" s="1"/>
  <c r="A314" i="5" s="1"/>
  <c r="A315" i="5" s="1"/>
  <c r="A316" i="5" s="1"/>
  <c r="A317" i="5" s="1"/>
  <c r="A318" i="5" s="1"/>
  <c r="A319" i="5" s="1"/>
  <c r="A320" i="5" s="1"/>
  <c r="A321" i="5" s="1"/>
  <c r="A322" i="5" s="1"/>
  <c r="A323" i="5" s="1"/>
  <c r="A324" i="5" s="1"/>
  <c r="A325" i="5" s="1"/>
  <c r="A326" i="5" s="1"/>
  <c r="A327" i="5" s="1"/>
  <c r="A328" i="5" s="1"/>
  <c r="A329" i="5" s="1"/>
  <c r="A330" i="5" s="1"/>
  <c r="A331" i="5" s="1"/>
  <c r="A332" i="5" s="1"/>
  <c r="A333" i="5" s="1"/>
  <c r="A334" i="5" s="1"/>
  <c r="A335" i="5" s="1"/>
  <c r="A336" i="5" s="1"/>
  <c r="A337" i="5" s="1"/>
  <c r="A338" i="5" s="1"/>
  <c r="A339" i="5" s="1"/>
  <c r="A340" i="5" s="1"/>
  <c r="A341" i="5" s="1"/>
  <c r="A342" i="5" s="1"/>
  <c r="A343" i="5" s="1"/>
  <c r="A344" i="5" s="1"/>
  <c r="A345" i="5" s="1"/>
  <c r="A346" i="5" s="1"/>
  <c r="A347" i="5" s="1"/>
  <c r="A348" i="5" s="1"/>
  <c r="A349" i="5" s="1"/>
  <c r="A350" i="5" s="1"/>
  <c r="A351" i="5" s="1"/>
  <c r="A352" i="5" s="1"/>
  <c r="A353" i="5" s="1"/>
  <c r="A354" i="5" s="1"/>
  <c r="A355" i="5" s="1"/>
  <c r="A356" i="5" s="1"/>
  <c r="A357" i="5" s="1"/>
  <c r="A358" i="5" s="1"/>
  <c r="A359" i="5" s="1"/>
  <c r="A360" i="5" s="1"/>
  <c r="A361" i="5" s="1"/>
  <c r="A362" i="5" s="1"/>
  <c r="A363" i="5" s="1"/>
  <c r="A364" i="5" s="1"/>
  <c r="A365" i="5" s="1"/>
  <c r="A366" i="5" s="1"/>
  <c r="A367" i="5" s="1"/>
  <c r="A368" i="5" s="1"/>
  <c r="A369" i="5" s="1"/>
  <c r="A370" i="5" s="1"/>
  <c r="A371" i="5" s="1"/>
  <c r="A372" i="5" s="1"/>
  <c r="A373" i="5" s="1"/>
  <c r="A374" i="5" s="1"/>
  <c r="A375" i="5" s="1"/>
  <c r="A376" i="5" s="1"/>
  <c r="A377" i="5" s="1"/>
  <c r="A378" i="5" s="1"/>
  <c r="A379" i="5" s="1"/>
  <c r="A380" i="5" s="1"/>
  <c r="A381" i="5" s="1"/>
  <c r="A382" i="5" s="1"/>
  <c r="A383" i="5" s="1"/>
  <c r="A384" i="5" s="1"/>
  <c r="A385" i="5" s="1"/>
  <c r="A386" i="5" s="1"/>
  <c r="A387" i="5" s="1"/>
  <c r="A388" i="5" s="1"/>
  <c r="A389" i="5" s="1"/>
  <c r="A390" i="5" s="1"/>
  <c r="A391" i="5" s="1"/>
  <c r="A392" i="5" s="1"/>
  <c r="A393" i="5" s="1"/>
  <c r="A394" i="5" s="1"/>
  <c r="A395" i="5" s="1"/>
  <c r="A396" i="5" s="1"/>
  <c r="A397" i="5" s="1"/>
  <c r="A398" i="5" s="1"/>
  <c r="A399" i="5" s="1"/>
  <c r="A400" i="5" s="1"/>
  <c r="A401" i="5" s="1"/>
  <c r="A402" i="5" s="1"/>
  <c r="A403" i="5" s="1"/>
  <c r="A404" i="5" s="1"/>
  <c r="A405" i="5" s="1"/>
  <c r="A406" i="5" s="1"/>
  <c r="A407" i="5" s="1"/>
  <c r="A408" i="5" s="1"/>
  <c r="A409" i="5" s="1"/>
  <c r="A410" i="5" s="1"/>
  <c r="A411" i="5" s="1"/>
  <c r="A412" i="5" s="1"/>
  <c r="A413" i="5" s="1"/>
  <c r="A414" i="5" s="1"/>
  <c r="A415" i="5" s="1"/>
  <c r="A416" i="5" s="1"/>
  <c r="A417" i="5" s="1"/>
  <c r="A418" i="5" s="1"/>
  <c r="A419" i="5" s="1"/>
  <c r="A420" i="5" s="1"/>
  <c r="A421" i="5" s="1"/>
  <c r="A422" i="5" s="1"/>
  <c r="A423" i="5" s="1"/>
  <c r="A424" i="5" s="1"/>
  <c r="A425" i="5" s="1"/>
  <c r="A426" i="5" s="1"/>
  <c r="A427" i="5" s="1"/>
  <c r="A428" i="5" s="1"/>
  <c r="A429" i="5" s="1"/>
  <c r="A430" i="5" s="1"/>
  <c r="A431" i="5" s="1"/>
  <c r="A432" i="5" s="1"/>
  <c r="A433" i="5" s="1"/>
  <c r="A434" i="5" s="1"/>
  <c r="A435" i="5" s="1"/>
  <c r="A436" i="5" s="1"/>
  <c r="A437" i="5" s="1"/>
  <c r="A438" i="5" s="1"/>
  <c r="A439" i="5" s="1"/>
  <c r="A440" i="5" s="1"/>
  <c r="A441" i="5" s="1"/>
  <c r="A442" i="5" s="1"/>
  <c r="A443" i="5" s="1"/>
  <c r="A444" i="5" s="1"/>
  <c r="A445" i="5" s="1"/>
  <c r="A446" i="5" s="1"/>
  <c r="A447" i="5" s="1"/>
  <c r="A448" i="5" s="1"/>
  <c r="A449" i="5" s="1"/>
  <c r="A450" i="5" s="1"/>
  <c r="A451" i="5" s="1"/>
  <c r="A452" i="5" s="1"/>
  <c r="A453" i="5" s="1"/>
  <c r="A454" i="5" s="1"/>
  <c r="A455" i="5" s="1"/>
  <c r="A456" i="5" s="1"/>
  <c r="A457" i="5" s="1"/>
  <c r="BL131" i="4"/>
  <c r="AI104" i="4"/>
  <c r="AI105" i="4"/>
  <c r="AI106" i="4" s="1"/>
  <c r="AI107" i="4" s="1"/>
  <c r="AI108" i="4" s="1"/>
  <c r="U105" i="4"/>
  <c r="U106" i="4"/>
  <c r="U133" i="4"/>
  <c r="AC131" i="4"/>
  <c r="U71" i="4"/>
  <c r="U72" i="4"/>
  <c r="U73" i="4"/>
  <c r="U74" i="4" s="1"/>
  <c r="U75" i="4" s="1"/>
  <c r="U76" i="4" s="1"/>
  <c r="U77" i="4" s="1"/>
  <c r="U78" i="4" s="1"/>
  <c r="U79" i="4" s="1"/>
  <c r="U80" i="4" s="1"/>
  <c r="U81" i="4" s="1"/>
  <c r="U82" i="4" s="1"/>
  <c r="U83" i="4" s="1"/>
  <c r="AU71" i="4"/>
  <c r="AU72" i="4"/>
  <c r="AU73" i="4" s="1"/>
  <c r="AU74" i="4" s="1"/>
  <c r="AU75" i="4" s="1"/>
  <c r="AU76" i="4" s="1"/>
  <c r="AU77" i="4" s="1"/>
  <c r="AU78" i="4" s="1"/>
  <c r="AU79" i="4" s="1"/>
  <c r="AU80" i="4" s="1"/>
  <c r="AU81" i="4" s="1"/>
  <c r="AI71" i="4"/>
  <c r="AI72" i="4"/>
  <c r="AI73" i="4"/>
  <c r="AI74" i="4" s="1"/>
  <c r="AI75" i="4" s="1"/>
  <c r="AI76" i="4" s="1"/>
  <c r="AI77" i="4" s="1"/>
  <c r="AI78" i="4" s="1"/>
  <c r="AI79" i="4" s="1"/>
  <c r="AI80" i="4" s="1"/>
  <c r="V183" i="4"/>
  <c r="AQ193" i="4" s="1"/>
  <c r="BM188" i="4"/>
  <c r="BL188" i="4"/>
  <c r="BL225" i="4" s="1"/>
  <c r="BL221" i="4"/>
  <c r="BK188" i="4"/>
  <c r="BJ188" i="4"/>
  <c r="BJ221" i="4"/>
  <c r="BI188" i="4"/>
  <c r="BI225" i="4" s="1"/>
  <c r="BH188" i="4"/>
  <c r="BH225" i="4" s="1"/>
  <c r="BF188" i="4"/>
  <c r="BF225" i="4"/>
  <c r="BE188" i="4"/>
  <c r="BD188" i="4"/>
  <c r="BD225" i="4"/>
  <c r="BC188" i="4"/>
  <c r="BC225" i="4" s="1"/>
  <c r="BB188" i="4"/>
  <c r="BB225" i="4" s="1"/>
  <c r="BA188" i="4"/>
  <c r="BA225" i="4" s="1"/>
  <c r="AZ188" i="4"/>
  <c r="AZ225" i="4" s="1"/>
  <c r="AY188" i="4"/>
  <c r="AY225" i="4" s="1"/>
  <c r="AX188" i="4"/>
  <c r="AX225" i="4" s="1"/>
  <c r="AW188" i="4"/>
  <c r="AW225" i="4" s="1"/>
  <c r="AV188" i="4"/>
  <c r="AV225" i="4" s="1"/>
  <c r="AU188" i="4"/>
  <c r="AU225" i="4" s="1"/>
  <c r="AT188" i="4"/>
  <c r="AT225" i="4" s="1"/>
  <c r="AS188" i="4"/>
  <c r="AR188" i="4"/>
  <c r="AR225" i="4"/>
  <c r="AS186" i="4"/>
  <c r="AT186" i="4" s="1"/>
  <c r="AU186" i="4" s="1"/>
  <c r="AV186" i="4" s="1"/>
  <c r="AW186" i="4" s="1"/>
  <c r="AX186" i="4" s="1"/>
  <c r="AY186" i="4" s="1"/>
  <c r="AZ186" i="4" s="1"/>
  <c r="BA186" i="4" s="1"/>
  <c r="BB186" i="4" s="1"/>
  <c r="BC186" i="4" s="1"/>
  <c r="BD186" i="4" s="1"/>
  <c r="BE186" i="4" s="1"/>
  <c r="BF186" i="4" s="1"/>
  <c r="BH186" i="4" s="1"/>
  <c r="BI186" i="4" s="1"/>
  <c r="BJ186" i="4" s="1"/>
  <c r="BK186" i="4" s="1"/>
  <c r="BL186" i="4" s="1"/>
  <c r="BM186" i="4" s="1"/>
  <c r="BB185" i="4"/>
  <c r="U145" i="4"/>
  <c r="U146" i="4"/>
  <c r="D17" i="8"/>
  <c r="P17" i="8" s="1"/>
  <c r="B32" i="6"/>
  <c r="B33" i="6"/>
  <c r="B34" i="6"/>
  <c r="B35" i="6"/>
  <c r="D20" i="8"/>
  <c r="C20" i="8" s="1"/>
  <c r="BK185" i="4"/>
  <c r="B36" i="6"/>
  <c r="B31" i="6"/>
  <c r="BC185" i="4"/>
  <c r="BH185" i="4"/>
  <c r="BI224" i="4"/>
  <c r="BJ224" i="4"/>
  <c r="BM224" i="4"/>
  <c r="BL224" i="4"/>
  <c r="BK224" i="4"/>
  <c r="BH224" i="4"/>
  <c r="BF224" i="4"/>
  <c r="BE224" i="4"/>
  <c r="BD224" i="4"/>
  <c r="BC224" i="4"/>
  <c r="BB224" i="4"/>
  <c r="BA224" i="4"/>
  <c r="AZ224" i="4"/>
  <c r="AY224" i="4"/>
  <c r="AX224" i="4"/>
  <c r="AW224" i="4"/>
  <c r="AV224" i="4"/>
  <c r="AU224" i="4"/>
  <c r="AT224" i="4"/>
  <c r="AS224" i="4"/>
  <c r="AR224" i="4"/>
  <c r="BL185" i="4"/>
  <c r="AS223" i="4"/>
  <c r="AT223" i="4" s="1"/>
  <c r="AU223" i="4" s="1"/>
  <c r="AV223" i="4"/>
  <c r="AW223" i="4" s="1"/>
  <c r="AX223" i="4" s="1"/>
  <c r="AY223" i="4" s="1"/>
  <c r="AZ223" i="4"/>
  <c r="BA223" i="4" s="1"/>
  <c r="BB223" i="4" s="1"/>
  <c r="BC223" i="4" s="1"/>
  <c r="BD223" i="4" s="1"/>
  <c r="BE223" i="4" s="1"/>
  <c r="BF223" i="4" s="1"/>
  <c r="BH223" i="4" s="1"/>
  <c r="BI223" i="4" s="1"/>
  <c r="BJ223" i="4" s="1"/>
  <c r="BK223" i="4" s="1"/>
  <c r="BL223" i="4" s="1"/>
  <c r="BM223" i="4" s="1"/>
  <c r="BI222" i="4"/>
  <c r="BJ222" i="4"/>
  <c r="BM222" i="4"/>
  <c r="BL222" i="4"/>
  <c r="BK222" i="4"/>
  <c r="BH222" i="4"/>
  <c r="BF222" i="4"/>
  <c r="BE222" i="4"/>
  <c r="BD222" i="4"/>
  <c r="BC222" i="4"/>
  <c r="BB222" i="4"/>
  <c r="BA222" i="4"/>
  <c r="AZ222" i="4"/>
  <c r="AY222" i="4"/>
  <c r="AX222" i="4"/>
  <c r="AW222" i="4"/>
  <c r="AV222" i="4"/>
  <c r="AU222" i="4"/>
  <c r="AT222" i="4"/>
  <c r="AS222" i="4"/>
  <c r="AR222" i="4"/>
  <c r="BM185" i="4"/>
  <c r="BJ185" i="4"/>
  <c r="BI185" i="4"/>
  <c r="BF185" i="4"/>
  <c r="BE185" i="4"/>
  <c r="BD185" i="4"/>
  <c r="BA185" i="4"/>
  <c r="AZ185" i="4"/>
  <c r="AY185" i="4"/>
  <c r="AX185" i="4"/>
  <c r="AW185" i="4"/>
  <c r="AV185" i="4"/>
  <c r="AU185" i="4"/>
  <c r="AT185" i="4"/>
  <c r="AS185" i="4"/>
  <c r="AR185" i="4"/>
  <c r="J84" i="4"/>
  <c r="U33" i="4"/>
  <c r="U34" i="4"/>
  <c r="U35" i="4"/>
  <c r="U36" i="4"/>
  <c r="U37" i="4"/>
  <c r="U38" i="4"/>
  <c r="U39" i="4"/>
  <c r="F77" i="4"/>
  <c r="F3" i="8" s="1"/>
  <c r="F79" i="4"/>
  <c r="F84" i="4"/>
  <c r="F78" i="4"/>
  <c r="F75" i="4"/>
  <c r="B63" i="1"/>
  <c r="B64" i="1" s="1"/>
  <c r="B65" i="1" s="1"/>
  <c r="B66" i="1" s="1"/>
  <c r="B67" i="1"/>
  <c r="B68" i="1" s="1"/>
  <c r="B69" i="1" s="1"/>
  <c r="B70" i="1" s="1"/>
  <c r="B71" i="1" s="1"/>
  <c r="B72" i="1" s="1"/>
  <c r="B73" i="1" s="1"/>
  <c r="B74" i="1" s="1"/>
  <c r="B75" i="1" s="1"/>
  <c r="B76" i="1" s="1"/>
  <c r="B77" i="1" s="1"/>
  <c r="B78" i="1" s="1"/>
  <c r="B79" i="1" s="1"/>
  <c r="B80" i="1" s="1"/>
  <c r="B81" i="1" s="1"/>
  <c r="B82" i="1" s="1"/>
  <c r="B83" i="1" s="1"/>
  <c r="B84" i="1" s="1"/>
  <c r="B85" i="1" s="1"/>
  <c r="B86" i="1" s="1"/>
  <c r="B87" i="1" s="1"/>
  <c r="B88" i="1" s="1"/>
  <c r="B89" i="1" s="1"/>
  <c r="B90" i="1" s="1"/>
  <c r="B91" i="1" s="1"/>
  <c r="B92" i="1" s="1"/>
  <c r="B93" i="1" s="1"/>
  <c r="B94" i="1" s="1"/>
  <c r="B95" i="1" s="1"/>
  <c r="B96" i="1" s="1"/>
  <c r="B97" i="1" s="1"/>
  <c r="B98" i="1" s="1"/>
  <c r="B99" i="1" s="1"/>
  <c r="B100" i="1" s="1"/>
  <c r="B101" i="1" s="1"/>
  <c r="B102" i="1" s="1"/>
  <c r="N20" i="1"/>
  <c r="O20" i="1" s="1"/>
  <c r="A22" i="1"/>
  <c r="B22" i="1"/>
  <c r="C22" i="1"/>
  <c r="A23" i="1"/>
  <c r="P20" i="1"/>
  <c r="Q20" i="1" s="1"/>
  <c r="R20" i="1" s="1"/>
  <c r="K28" i="10"/>
  <c r="K35" i="10"/>
  <c r="D19" i="8"/>
  <c r="C19" i="8" s="1"/>
  <c r="AB18" i="15"/>
  <c r="AB19" i="15" s="1"/>
  <c r="AB20" i="15" s="1"/>
  <c r="AB21" i="15" s="1"/>
  <c r="AB22" i="15"/>
  <c r="AB23" i="15" s="1"/>
  <c r="AB24" i="15" s="1"/>
  <c r="AB25" i="15" s="1"/>
  <c r="AB26" i="15" s="1"/>
  <c r="AB27" i="15" s="1"/>
  <c r="AB28" i="15" s="1"/>
  <c r="AB29" i="15" s="1"/>
  <c r="AB30" i="15" s="1"/>
  <c r="AB31" i="15" s="1"/>
  <c r="AB32" i="15" s="1"/>
  <c r="AB33" i="15" s="1"/>
  <c r="AB34" i="15" s="1"/>
  <c r="AB35" i="15" s="1"/>
  <c r="AC50" i="15"/>
  <c r="AC50" i="16"/>
  <c r="Z42" i="4"/>
  <c r="AC42" i="4"/>
  <c r="AF42" i="4"/>
  <c r="D21" i="8"/>
  <c r="C21" i="8" s="1"/>
  <c r="D18" i="8"/>
  <c r="C18" i="8" s="1"/>
  <c r="Z43" i="4"/>
  <c r="Z44" i="4"/>
  <c r="Z45" i="4" s="1"/>
  <c r="J41" i="4" s="1"/>
  <c r="J5" i="8" s="1"/>
  <c r="W43" i="4"/>
  <c r="AW66" i="4"/>
  <c r="AK99" i="4"/>
  <c r="W100" i="4"/>
  <c r="AI109" i="4"/>
  <c r="AI110" i="4" s="1"/>
  <c r="AF15" i="16"/>
  <c r="AK67" i="4"/>
  <c r="AW67" i="4"/>
  <c r="W101" i="4"/>
  <c r="AK100" i="4"/>
  <c r="G22" i="1"/>
  <c r="F22" i="1"/>
  <c r="L22" i="1"/>
  <c r="I22" i="1"/>
  <c r="D22" i="1"/>
  <c r="M22" i="1"/>
  <c r="N21" i="1"/>
  <c r="N19" i="1"/>
  <c r="H22" i="1"/>
  <c r="J22" i="1"/>
  <c r="E22" i="1"/>
  <c r="K22" i="1"/>
  <c r="N23" i="1"/>
  <c r="N22" i="1"/>
  <c r="AG50" i="15"/>
  <c r="AG50" i="16"/>
  <c r="AS225" i="4"/>
  <c r="AE49" i="16"/>
  <c r="AE50" i="16" s="1"/>
  <c r="BJ225" i="4"/>
  <c r="AC48" i="15"/>
  <c r="AC49" i="15"/>
  <c r="AC51" i="15" s="1"/>
  <c r="AC43" i="4"/>
  <c r="AC44" i="4" s="1"/>
  <c r="AC46" i="4" s="1"/>
  <c r="W44" i="4"/>
  <c r="W45" i="4" s="1"/>
  <c r="C2" i="12"/>
  <c r="B28" i="4"/>
  <c r="E2" i="15"/>
  <c r="H9" i="6"/>
  <c r="BE225" i="4"/>
  <c r="AC133" i="4"/>
  <c r="U134" i="4"/>
  <c r="U135" i="4" s="1"/>
  <c r="BM225" i="4"/>
  <c r="BM221" i="4"/>
  <c r="BK221" i="4"/>
  <c r="BK225" i="4"/>
  <c r="AC134" i="4"/>
  <c r="H19" i="6"/>
  <c r="M11" i="16"/>
  <c r="H8" i="16"/>
  <c r="H20" i="16"/>
  <c r="H20" i="15"/>
  <c r="G142" i="4"/>
  <c r="M17" i="15"/>
  <c r="G15" i="16"/>
  <c r="B6" i="6"/>
  <c r="M8" i="16"/>
  <c r="B15" i="6" l="1"/>
  <c r="C42" i="4"/>
  <c r="C126" i="5"/>
  <c r="B20" i="6"/>
  <c r="B30" i="6"/>
  <c r="C35" i="4"/>
  <c r="B3" i="8" s="1"/>
  <c r="B40" i="6"/>
  <c r="B25" i="6"/>
  <c r="G15" i="15"/>
  <c r="C37" i="4"/>
  <c r="C98" i="5"/>
  <c r="J15" i="6"/>
  <c r="B41" i="6"/>
  <c r="C41" i="6" s="1"/>
  <c r="C8" i="16"/>
  <c r="C160" i="5"/>
  <c r="C14" i="16"/>
  <c r="C423" i="5"/>
  <c r="AC144" i="4"/>
  <c r="C41" i="4"/>
  <c r="B42" i="6"/>
  <c r="C42" i="6" s="1"/>
  <c r="G130" i="4"/>
  <c r="B3" i="6"/>
  <c r="C33" i="4"/>
  <c r="D15" i="8"/>
  <c r="E15" i="8" s="1"/>
  <c r="M17" i="16"/>
  <c r="C237" i="5"/>
  <c r="L25" i="16"/>
  <c r="B26" i="6"/>
  <c r="C26" i="6" s="1"/>
  <c r="C10" i="8"/>
  <c r="G6" i="15"/>
  <c r="E2" i="16"/>
  <c r="J40" i="6"/>
  <c r="J6" i="6"/>
  <c r="AQ216" i="4"/>
  <c r="BD216" i="4" s="1"/>
  <c r="J54" i="1"/>
  <c r="H62" i="1" s="1"/>
  <c r="AG47" i="15"/>
  <c r="M15" i="15" s="1"/>
  <c r="G123" i="4" s="1"/>
  <c r="C38" i="5"/>
  <c r="C60" i="5"/>
  <c r="C322" i="5"/>
  <c r="H36" i="4"/>
  <c r="I134" i="4"/>
  <c r="B9" i="6" s="1"/>
  <c r="C75" i="4"/>
  <c r="M11" i="15"/>
  <c r="G122" i="4"/>
  <c r="C164" i="5"/>
  <c r="C348" i="5"/>
  <c r="C285" i="5"/>
  <c r="C294" i="5"/>
  <c r="C286" i="5"/>
  <c r="C20" i="5"/>
  <c r="C104" i="5"/>
  <c r="D145" i="4"/>
  <c r="H23" i="15"/>
  <c r="M14" i="16"/>
  <c r="C78" i="5"/>
  <c r="C262" i="5"/>
  <c r="C31" i="5"/>
  <c r="D148" i="4" s="1"/>
  <c r="C427" i="5"/>
  <c r="G136" i="4"/>
  <c r="M14" i="15"/>
  <c r="P21" i="8"/>
  <c r="P19" i="8"/>
  <c r="F19" i="8" s="1"/>
  <c r="H11" i="15"/>
  <c r="M8" i="15"/>
  <c r="C177" i="5"/>
  <c r="C384" i="5"/>
  <c r="C187" i="5"/>
  <c r="C412" i="5"/>
  <c r="C247" i="5"/>
  <c r="C99" i="5"/>
  <c r="C211" i="5"/>
  <c r="C249" i="5"/>
  <c r="C347" i="5"/>
  <c r="C292" i="5"/>
  <c r="C72" i="5"/>
  <c r="C55" i="5"/>
  <c r="C121" i="5"/>
  <c r="C344" i="5"/>
  <c r="C43" i="5"/>
  <c r="C34" i="6" s="1"/>
  <c r="E19" i="8" s="1"/>
  <c r="C266" i="5"/>
  <c r="K20" i="6"/>
  <c r="C23" i="5"/>
  <c r="K26" i="6"/>
  <c r="H11" i="16"/>
  <c r="C293" i="5"/>
  <c r="C296" i="5"/>
  <c r="C375" i="5"/>
  <c r="C319" i="5"/>
  <c r="C48" i="5"/>
  <c r="C157" i="5"/>
  <c r="C213" i="5"/>
  <c r="C8" i="5"/>
  <c r="C304" i="5"/>
  <c r="C364" i="5"/>
  <c r="C122" i="5"/>
  <c r="C381" i="5"/>
  <c r="C61" i="5"/>
  <c r="C305" i="5"/>
  <c r="C385" i="5"/>
  <c r="K10" i="6"/>
  <c r="E18" i="8"/>
  <c r="C387" i="5"/>
  <c r="C27" i="5"/>
  <c r="C437" i="5"/>
  <c r="C244" i="5"/>
  <c r="C7" i="5"/>
  <c r="C338" i="5"/>
  <c r="C142" i="5"/>
  <c r="C174" i="5"/>
  <c r="C313" i="5"/>
  <c r="C297" i="5"/>
  <c r="C424" i="5"/>
  <c r="C202" i="5"/>
  <c r="C279" i="5"/>
  <c r="C392" i="5"/>
  <c r="C241" i="5"/>
  <c r="K15" i="6"/>
  <c r="F21" i="8"/>
  <c r="P20" i="8"/>
  <c r="F20" i="8" s="1"/>
  <c r="P18" i="8"/>
  <c r="F18" i="8" s="1"/>
  <c r="C17" i="8"/>
  <c r="F17" i="8"/>
  <c r="P16" i="8"/>
  <c r="F16" i="8" s="1"/>
  <c r="BI133" i="4"/>
  <c r="G103" i="4" s="1"/>
  <c r="C6" i="6"/>
  <c r="C30" i="6"/>
  <c r="C20" i="6"/>
  <c r="E10" i="8"/>
  <c r="C10" i="6"/>
  <c r="C40" i="6"/>
  <c r="C409" i="5"/>
  <c r="C434" i="5"/>
  <c r="C328" i="5"/>
  <c r="C382" i="5"/>
  <c r="C281" i="5"/>
  <c r="C206" i="5"/>
  <c r="C332" i="5"/>
  <c r="C36" i="5"/>
  <c r="C373" i="5"/>
  <c r="C357" i="5"/>
  <c r="C42" i="5"/>
  <c r="C33" i="6" s="1"/>
  <c r="C54" i="5"/>
  <c r="C225" i="5"/>
  <c r="C228" i="5"/>
  <c r="C156" i="5"/>
  <c r="C18" i="5"/>
  <c r="C124" i="5"/>
  <c r="C77" i="5"/>
  <c r="C132" i="5"/>
  <c r="C144" i="5"/>
  <c r="C335" i="5"/>
  <c r="C34" i="5"/>
  <c r="C147" i="5"/>
  <c r="C176" i="5"/>
  <c r="C371" i="5"/>
  <c r="C210" i="5"/>
  <c r="C360" i="5"/>
  <c r="C428" i="5"/>
  <c r="C229" i="5"/>
  <c r="C419" i="5"/>
  <c r="C148" i="5"/>
  <c r="C91" i="5"/>
  <c r="C92" i="5"/>
  <c r="C131" i="5"/>
  <c r="C67" i="5"/>
  <c r="C372" i="5"/>
  <c r="C21" i="5"/>
  <c r="C73" i="5"/>
  <c r="C58" i="5"/>
  <c r="C219" i="5"/>
  <c r="C248" i="5"/>
  <c r="C35" i="5"/>
  <c r="C255" i="5"/>
  <c r="C109" i="5"/>
  <c r="C114" i="5"/>
  <c r="C439" i="5"/>
  <c r="C230" i="5"/>
  <c r="C265" i="5"/>
  <c r="C175" i="5"/>
  <c r="C339" i="5"/>
  <c r="C309" i="5"/>
  <c r="C337" i="5"/>
  <c r="C351" i="5"/>
  <c r="C420" i="5"/>
  <c r="C218" i="5"/>
  <c r="C173" i="5"/>
  <c r="C440" i="5"/>
  <c r="C199" i="5"/>
  <c r="C13" i="5"/>
  <c r="C235" i="5"/>
  <c r="C204" i="5"/>
  <c r="C11" i="16"/>
  <c r="G119" i="4"/>
  <c r="C41" i="5"/>
  <c r="C32" i="6" s="1"/>
  <c r="E17" i="8" s="1"/>
  <c r="C308" i="5"/>
  <c r="C441" i="5"/>
  <c r="C395" i="5"/>
  <c r="C201" i="5"/>
  <c r="C169" i="5"/>
  <c r="C417" i="5"/>
  <c r="C215" i="5"/>
  <c r="C90" i="5"/>
  <c r="C190" i="5"/>
  <c r="C50" i="5"/>
  <c r="C165" i="5"/>
  <c r="C93" i="5"/>
  <c r="C388" i="5"/>
  <c r="C226" i="5"/>
  <c r="C197" i="5"/>
  <c r="C227" i="5"/>
  <c r="C28" i="5"/>
  <c r="C217" i="5"/>
  <c r="C300" i="5"/>
  <c r="C413" i="5"/>
  <c r="C311" i="5"/>
  <c r="C26" i="5"/>
  <c r="C318" i="5"/>
  <c r="C89" i="5"/>
  <c r="C178" i="5"/>
  <c r="C65" i="5"/>
  <c r="C414" i="5"/>
  <c r="C44" i="5"/>
  <c r="C35" i="6" s="1"/>
  <c r="E20" i="8" s="1"/>
  <c r="C16" i="5"/>
  <c r="C302" i="5"/>
  <c r="C154" i="5"/>
  <c r="C96" i="5"/>
  <c r="C120" i="5"/>
  <c r="C298" i="5"/>
  <c r="C408" i="5"/>
  <c r="C430" i="5"/>
  <c r="C10" i="5"/>
  <c r="C232" i="5"/>
  <c r="C276" i="5"/>
  <c r="C240" i="5"/>
  <c r="C272" i="5"/>
  <c r="C220" i="5"/>
  <c r="C257" i="5"/>
  <c r="C390" i="5"/>
  <c r="C128" i="5"/>
  <c r="C82" i="5"/>
  <c r="C366" i="5"/>
  <c r="C275" i="5"/>
  <c r="C17" i="5"/>
  <c r="C179" i="5"/>
  <c r="C340" i="5"/>
  <c r="C295" i="5"/>
  <c r="C251" i="5"/>
  <c r="C342" i="5"/>
  <c r="C81" i="5"/>
  <c r="C137" i="5"/>
  <c r="C30" i="5"/>
  <c r="D147" i="4" s="1"/>
  <c r="C70" i="5"/>
  <c r="C429" i="5"/>
  <c r="C290" i="5"/>
  <c r="C52" i="5"/>
  <c r="C182" i="5"/>
  <c r="C84" i="5"/>
  <c r="C134" i="5"/>
  <c r="C185" i="5"/>
  <c r="C15" i="6"/>
  <c r="C346" i="5"/>
  <c r="C242" i="5"/>
  <c r="C301" i="5"/>
  <c r="C141" i="5"/>
  <c r="C130" i="5"/>
  <c r="C163" i="5"/>
  <c r="C432" i="5"/>
  <c r="C418" i="5"/>
  <c r="C167" i="5"/>
  <c r="C135" i="5"/>
  <c r="C155" i="5"/>
  <c r="C325" i="5"/>
  <c r="C259" i="5"/>
  <c r="C118" i="5"/>
  <c r="C425" i="5"/>
  <c r="C315" i="5"/>
  <c r="C71" i="5"/>
  <c r="C404" i="5"/>
  <c r="C161" i="5"/>
  <c r="C326" i="5"/>
  <c r="C205" i="5"/>
  <c r="C282" i="5"/>
  <c r="C12" i="5"/>
  <c r="C49" i="5"/>
  <c r="C6" i="5"/>
  <c r="C69" i="5"/>
  <c r="C330" i="5"/>
  <c r="C421" i="5"/>
  <c r="C209" i="5"/>
  <c r="C314" i="5"/>
  <c r="C331" i="5"/>
  <c r="C407" i="5"/>
  <c r="C431" i="5"/>
  <c r="C223" i="5"/>
  <c r="C25" i="5"/>
  <c r="C203" i="5"/>
  <c r="C97" i="5"/>
  <c r="C80" i="5"/>
  <c r="C389" i="5"/>
  <c r="C170" i="5"/>
  <c r="C267" i="5"/>
  <c r="C354" i="5"/>
  <c r="C358" i="5"/>
  <c r="C393" i="5"/>
  <c r="C270" i="5"/>
  <c r="C159" i="5"/>
  <c r="C113" i="5"/>
  <c r="C183" i="5"/>
  <c r="C166" i="5"/>
  <c r="C11" i="5"/>
  <c r="C105" i="5"/>
  <c r="C88" i="5"/>
  <c r="C111" i="5"/>
  <c r="C19" i="5"/>
  <c r="C378" i="5"/>
  <c r="C410" i="5"/>
  <c r="C239" i="5"/>
  <c r="C51" i="5"/>
  <c r="C320" i="5"/>
  <c r="C133" i="5"/>
  <c r="C312" i="5"/>
  <c r="C355" i="5"/>
  <c r="C25" i="6"/>
  <c r="H17" i="16"/>
  <c r="C77" i="4"/>
  <c r="E3" i="8" s="1"/>
  <c r="C87" i="5"/>
  <c r="C59" i="5"/>
  <c r="C212" i="5"/>
  <c r="C127" i="5"/>
  <c r="C274" i="5"/>
  <c r="C316" i="5"/>
  <c r="C380" i="5"/>
  <c r="C129" i="5"/>
  <c r="C317" i="5"/>
  <c r="C379" i="5"/>
  <c r="C22" i="5"/>
  <c r="C374" i="5"/>
  <c r="C112" i="5"/>
  <c r="C171" i="5"/>
  <c r="C341" i="5"/>
  <c r="C86" i="5"/>
  <c r="C68" i="5"/>
  <c r="C193" i="5"/>
  <c r="C140" i="5"/>
  <c r="C403" i="5"/>
  <c r="C153" i="5"/>
  <c r="C151" i="5"/>
  <c r="C207" i="5"/>
  <c r="C168" i="5"/>
  <c r="C24" i="5"/>
  <c r="C365" i="5"/>
  <c r="C195" i="5"/>
  <c r="C123" i="5"/>
  <c r="C136" i="5"/>
  <c r="C345" i="5"/>
  <c r="C152" i="5"/>
  <c r="C196" i="5"/>
  <c r="C254" i="5"/>
  <c r="C246" i="5"/>
  <c r="C33" i="5"/>
  <c r="C162" i="5"/>
  <c r="C307" i="5"/>
  <c r="C329" i="5"/>
  <c r="C291" i="5"/>
  <c r="C397" i="5"/>
  <c r="C261" i="5"/>
  <c r="C125" i="5"/>
  <c r="C370" i="5"/>
  <c r="C106" i="5"/>
  <c r="C53" i="5"/>
  <c r="C435" i="5"/>
  <c r="C334" i="5"/>
  <c r="C258" i="5"/>
  <c r="C396" i="5"/>
  <c r="C376" i="5"/>
  <c r="C45" i="5"/>
  <c r="C36" i="6" s="1"/>
  <c r="E21" i="8" s="1"/>
  <c r="C46" i="5"/>
  <c r="C56" i="5"/>
  <c r="C333" i="5"/>
  <c r="C245" i="5"/>
  <c r="C139" i="5"/>
  <c r="C350" i="5"/>
  <c r="C192" i="5"/>
  <c r="C189" i="5"/>
  <c r="C221" i="5"/>
  <c r="C411" i="5"/>
  <c r="C143" i="5"/>
  <c r="C100" i="5"/>
  <c r="C323" i="5"/>
  <c r="C191" i="5"/>
  <c r="C253" i="5"/>
  <c r="C336" i="5"/>
  <c r="C85" i="5"/>
  <c r="C386" i="5"/>
  <c r="C359" i="5"/>
  <c r="C278" i="5"/>
  <c r="C273" i="5"/>
  <c r="C63" i="5"/>
  <c r="C236" i="5"/>
  <c r="C79" i="5"/>
  <c r="C321" i="5"/>
  <c r="C306" i="5"/>
  <c r="C231" i="5"/>
  <c r="C57" i="5"/>
  <c r="C110" i="5"/>
  <c r="C422" i="5"/>
  <c r="C343" i="5"/>
  <c r="C117" i="5"/>
  <c r="C146" i="5"/>
  <c r="C64" i="5"/>
  <c r="C363" i="5"/>
  <c r="C101" i="5"/>
  <c r="C180" i="5"/>
  <c r="C299" i="5"/>
  <c r="C289" i="5"/>
  <c r="C349" i="5"/>
  <c r="C145" i="5"/>
  <c r="C271" i="5"/>
  <c r="C75" i="5"/>
  <c r="C32" i="5"/>
  <c r="C198" i="5"/>
  <c r="C66" i="5"/>
  <c r="C39" i="5"/>
  <c r="C256" i="5"/>
  <c r="C186" i="5"/>
  <c r="C214" i="5"/>
  <c r="C238" i="5"/>
  <c r="C263" i="5"/>
  <c r="C264" i="5"/>
  <c r="C94" i="5"/>
  <c r="C353" i="5"/>
  <c r="C287" i="5"/>
  <c r="C368" i="5"/>
  <c r="C416" i="5"/>
  <c r="C361" i="5"/>
  <c r="C284" i="5"/>
  <c r="C138" i="5"/>
  <c r="C394" i="5"/>
  <c r="C436" i="5"/>
  <c r="C406" i="5"/>
  <c r="C400" i="5"/>
  <c r="C280" i="5"/>
  <c r="C398" i="5"/>
  <c r="C216" i="5"/>
  <c r="C76" i="5"/>
  <c r="C377" i="5"/>
  <c r="C438" i="5"/>
  <c r="C433" i="5"/>
  <c r="C149" i="5"/>
  <c r="C268" i="5"/>
  <c r="C74" i="5"/>
  <c r="C233" i="5"/>
  <c r="C158" i="5"/>
  <c r="C150" i="5"/>
  <c r="C119" i="5"/>
  <c r="C222" i="5"/>
  <c r="C260" i="5"/>
  <c r="C252" i="5"/>
  <c r="C383" i="5"/>
  <c r="C243" i="5"/>
  <c r="C369" i="5"/>
  <c r="C107" i="5"/>
  <c r="C62" i="5"/>
  <c r="C29" i="5"/>
  <c r="C310" i="5"/>
  <c r="C37" i="5"/>
  <c r="C352" i="5"/>
  <c r="C108" i="5"/>
  <c r="C14" i="5"/>
  <c r="C401" i="5"/>
  <c r="C102" i="5"/>
  <c r="C367" i="5"/>
  <c r="C426" i="5"/>
  <c r="C288" i="5"/>
  <c r="C83" i="5"/>
  <c r="C9" i="5"/>
  <c r="C303" i="5"/>
  <c r="C116" i="5"/>
  <c r="C415" i="5"/>
  <c r="C362" i="5"/>
  <c r="C405" i="5"/>
  <c r="C188" i="5"/>
  <c r="C194" i="5"/>
  <c r="C181" i="5"/>
  <c r="C234" i="5"/>
  <c r="C184" i="5"/>
  <c r="C391" i="5"/>
  <c r="C324" i="5"/>
  <c r="C402" i="5"/>
  <c r="C15" i="5"/>
  <c r="C327" i="5"/>
  <c r="C399" i="5"/>
  <c r="C269" i="5"/>
  <c r="C47" i="5"/>
  <c r="C356" i="5"/>
  <c r="C208" i="5"/>
  <c r="C224" i="5"/>
  <c r="C277" i="5"/>
  <c r="C115" i="5"/>
  <c r="C95" i="5"/>
  <c r="C40" i="5"/>
  <c r="C31" i="6" s="1"/>
  <c r="E16" i="8" s="1"/>
  <c r="C200" i="5"/>
  <c r="C283" i="5"/>
  <c r="C103" i="5"/>
  <c r="C250" i="5"/>
  <c r="C172" i="5"/>
  <c r="M54" i="1"/>
  <c r="D142" i="4"/>
  <c r="BL136" i="4"/>
  <c r="BP136" i="4" s="1"/>
  <c r="BP134" i="4" s="1"/>
  <c r="D6" i="8"/>
  <c r="G139" i="4"/>
  <c r="E152" i="4"/>
  <c r="D136" i="4"/>
  <c r="D139" i="4"/>
  <c r="E151" i="4"/>
  <c r="G145" i="4"/>
  <c r="D150" i="4"/>
  <c r="AC49" i="16"/>
  <c r="AC51" i="16" s="1"/>
  <c r="AY193" i="4"/>
  <c r="BL193" i="4"/>
  <c r="BB193" i="4"/>
  <c r="BM193" i="4"/>
  <c r="AZ193" i="4"/>
  <c r="AS193" i="4"/>
  <c r="AQ249" i="4"/>
  <c r="BE249" i="4" s="1"/>
  <c r="AQ209" i="4"/>
  <c r="BL209" i="4" s="1"/>
  <c r="BK193" i="4"/>
  <c r="BC193" i="4"/>
  <c r="AW193" i="4"/>
  <c r="BA193" i="4"/>
  <c r="BE193" i="4"/>
  <c r="BJ193" i="4"/>
  <c r="BF193" i="4"/>
  <c r="AQ208" i="4"/>
  <c r="AQ195" i="4"/>
  <c r="BB195" i="4" s="1"/>
  <c r="AQ192" i="4"/>
  <c r="AQ213" i="4"/>
  <c r="BH213" i="4" s="1"/>
  <c r="AQ232" i="4"/>
  <c r="BL232" i="4" s="1"/>
  <c r="AQ240" i="4"/>
  <c r="BF240" i="4" s="1"/>
  <c r="AQ228" i="4"/>
  <c r="AQ206" i="4"/>
  <c r="AQ231" i="4"/>
  <c r="AQ234" i="4"/>
  <c r="AQ246" i="4"/>
  <c r="AQ243" i="4"/>
  <c r="AQ194" i="4"/>
  <c r="AQ205" i="4"/>
  <c r="AR205" i="4" s="1"/>
  <c r="AQ211" i="4"/>
  <c r="BK211" i="4" s="1"/>
  <c r="AQ191" i="4"/>
  <c r="BJ191" i="4" s="1"/>
  <c r="AQ237" i="4"/>
  <c r="BD237" i="4" s="1"/>
  <c r="AQ196" i="4"/>
  <c r="AW196" i="4" s="1"/>
  <c r="AQ245" i="4"/>
  <c r="AV245" i="4" s="1"/>
  <c r="AQ197" i="4"/>
  <c r="AQ212" i="4"/>
  <c r="AQ200" i="4"/>
  <c r="AQ235" i="4"/>
  <c r="AQ203" i="4"/>
  <c r="AQ239" i="4"/>
  <c r="AQ190" i="4"/>
  <c r="AQ189" i="4"/>
  <c r="BL189" i="4" s="1"/>
  <c r="AQ238" i="4"/>
  <c r="BH238" i="4" s="1"/>
  <c r="AQ242" i="4"/>
  <c r="AQ199" i="4"/>
  <c r="AQ215" i="4"/>
  <c r="AQ248" i="4"/>
  <c r="AQ210" i="4"/>
  <c r="AQ233" i="4"/>
  <c r="AX233" i="4" s="1"/>
  <c r="AQ198" i="4"/>
  <c r="AQ250" i="4"/>
  <c r="AQ229" i="4"/>
  <c r="AQ244" i="4"/>
  <c r="AR244" i="4" s="1"/>
  <c r="AQ214" i="4"/>
  <c r="AQ227" i="4"/>
  <c r="AT227" i="4" s="1"/>
  <c r="AQ241" i="4"/>
  <c r="AQ247" i="4"/>
  <c r="AQ236" i="4"/>
  <c r="AQ207" i="4"/>
  <c r="AR193" i="4"/>
  <c r="AV193" i="4"/>
  <c r="AQ230" i="4"/>
  <c r="AQ201" i="4"/>
  <c r="AQ226" i="4"/>
  <c r="BJ226" i="4" s="1"/>
  <c r="AQ202" i="4"/>
  <c r="AQ204" i="4"/>
  <c r="BF204" i="4" s="1"/>
  <c r="H24" i="6"/>
  <c r="BI193" i="4"/>
  <c r="BH193" i="4"/>
  <c r="BD193" i="4"/>
  <c r="AU193" i="4"/>
  <c r="AX193" i="4"/>
  <c r="AT193" i="4"/>
  <c r="AX126" i="4"/>
  <c r="AC135" i="4"/>
  <c r="U136" i="4"/>
  <c r="J36" i="4"/>
  <c r="AC45" i="4"/>
  <c r="M56" i="1"/>
  <c r="C23" i="1"/>
  <c r="S20" i="1"/>
  <c r="A24" i="1"/>
  <c r="B23" i="1"/>
  <c r="K25" i="6"/>
  <c r="K6" i="6"/>
  <c r="AE50" i="15"/>
  <c r="AB17" i="16"/>
  <c r="AX244" i="4" l="1"/>
  <c r="BM216" i="4"/>
  <c r="AY216" i="4"/>
  <c r="AZ216" i="4"/>
  <c r="BJ216" i="4"/>
  <c r="B14" i="6"/>
  <c r="C15" i="8"/>
  <c r="P15" i="8"/>
  <c r="F15" i="8" s="1"/>
  <c r="BK216" i="4"/>
  <c r="BA216" i="4"/>
  <c r="AX216" i="4"/>
  <c r="BH216" i="4"/>
  <c r="BF216" i="4"/>
  <c r="BH204" i="4"/>
  <c r="BB216" i="4"/>
  <c r="BL216" i="4"/>
  <c r="AS216" i="4"/>
  <c r="BI216" i="4"/>
  <c r="AV216" i="4"/>
  <c r="BE216" i="4"/>
  <c r="AR216" i="4"/>
  <c r="AW216" i="4"/>
  <c r="BC216" i="4"/>
  <c r="AT216" i="4"/>
  <c r="AU216" i="4"/>
  <c r="BM211" i="4"/>
  <c r="BJ240" i="4"/>
  <c r="BL240" i="4"/>
  <c r="AS240" i="4"/>
  <c r="BI195" i="4"/>
  <c r="AZ233" i="4"/>
  <c r="BC240" i="4"/>
  <c r="BF238" i="4"/>
  <c r="BH227" i="4"/>
  <c r="BJ211" i="4"/>
  <c r="BK249" i="4"/>
  <c r="BF245" i="4"/>
  <c r="AY205" i="4"/>
  <c r="BM249" i="4"/>
  <c r="AR195" i="4"/>
  <c r="BE227" i="4"/>
  <c r="AW249" i="4"/>
  <c r="BD189" i="4"/>
  <c r="AZ195" i="4"/>
  <c r="AV240" i="4"/>
  <c r="BM195" i="4"/>
  <c r="AZ240" i="4"/>
  <c r="AT233" i="4"/>
  <c r="BF195" i="4"/>
  <c r="BA195" i="4"/>
  <c r="AT240" i="4"/>
  <c r="AU240" i="4"/>
  <c r="BD240" i="4"/>
  <c r="AT249" i="4"/>
  <c r="AX195" i="4"/>
  <c r="BJ195" i="4"/>
  <c r="BJ244" i="4"/>
  <c r="AW233" i="4"/>
  <c r="AS195" i="4"/>
  <c r="AY195" i="4"/>
  <c r="AU195" i="4"/>
  <c r="BB240" i="4"/>
  <c r="BK240" i="4"/>
  <c r="AV249" i="4"/>
  <c r="BA240" i="4"/>
  <c r="AS244" i="4"/>
  <c r="AY240" i="4"/>
  <c r="AW195" i="4"/>
  <c r="AW240" i="4"/>
  <c r="BD244" i="4"/>
  <c r="AR233" i="4"/>
  <c r="BL195" i="4"/>
  <c r="BH195" i="4"/>
  <c r="BE240" i="4"/>
  <c r="BM209" i="4"/>
  <c r="BM213" i="4"/>
  <c r="BM245" i="4"/>
  <c r="BI211" i="4"/>
  <c r="BC209" i="4"/>
  <c r="BI232" i="4"/>
  <c r="BA238" i="4"/>
  <c r="BB249" i="4"/>
  <c r="BK238" i="4"/>
  <c r="BL238" i="4"/>
  <c r="BA213" i="4"/>
  <c r="BD213" i="4"/>
  <c r="BE213" i="4"/>
  <c r="BF213" i="4"/>
  <c r="BC249" i="4"/>
  <c r="AZ249" i="4"/>
  <c r="BI191" i="4"/>
  <c r="AR238" i="4"/>
  <c r="BD227" i="4"/>
  <c r="BF249" i="4"/>
  <c r="BJ249" i="4"/>
  <c r="AR227" i="4"/>
  <c r="AY211" i="4"/>
  <c r="AX227" i="4"/>
  <c r="AT213" i="4"/>
  <c r="AS238" i="4"/>
  <c r="AU245" i="4"/>
  <c r="AR213" i="4"/>
  <c r="BI249" i="4"/>
  <c r="AY249" i="4"/>
  <c r="BL249" i="4"/>
  <c r="BE189" i="4"/>
  <c r="BM240" i="4"/>
  <c r="BK195" i="4"/>
  <c r="AT195" i="4"/>
  <c r="BE195" i="4"/>
  <c r="BI240" i="4"/>
  <c r="BB227" i="4"/>
  <c r="BK227" i="4"/>
  <c r="BC213" i="4"/>
  <c r="BH240" i="4"/>
  <c r="AX249" i="4"/>
  <c r="AS249" i="4"/>
  <c r="BA249" i="4"/>
  <c r="AR249" i="4"/>
  <c r="BF227" i="4"/>
  <c r="BB191" i="4"/>
  <c r="AV238" i="4"/>
  <c r="AU213" i="4"/>
  <c r="BB189" i="4"/>
  <c r="AU249" i="4"/>
  <c r="AT245" i="4"/>
  <c r="AW245" i="4"/>
  <c r="BB245" i="4"/>
  <c r="BC211" i="4"/>
  <c r="AS211" i="4"/>
  <c r="AZ211" i="4"/>
  <c r="BE211" i="4"/>
  <c r="AY189" i="4"/>
  <c r="AR189" i="4"/>
  <c r="AW211" i="4"/>
  <c r="BJ209" i="4"/>
  <c r="BF209" i="4"/>
  <c r="AW209" i="4"/>
  <c r="BH245" i="4"/>
  <c r="BC245" i="4"/>
  <c r="BK245" i="4"/>
  <c r="BH211" i="4"/>
  <c r="AV211" i="4"/>
  <c r="AX211" i="4"/>
  <c r="AS189" i="4"/>
  <c r="AX189" i="4"/>
  <c r="AV209" i="4"/>
  <c r="BH209" i="4"/>
  <c r="AY245" i="4"/>
  <c r="AZ245" i="4"/>
  <c r="BL211" i="4"/>
  <c r="BB211" i="4"/>
  <c r="AT211" i="4"/>
  <c r="BD211" i="4"/>
  <c r="AW189" i="4"/>
  <c r="BI189" i="4"/>
  <c r="BN134" i="4"/>
  <c r="F110" i="4" s="1"/>
  <c r="F21" i="10" s="1"/>
  <c r="BK204" i="4"/>
  <c r="AY209" i="4"/>
  <c r="BK209" i="4"/>
  <c r="BB209" i="4"/>
  <c r="AU209" i="4"/>
  <c r="AT209" i="4"/>
  <c r="BB238" i="4"/>
  <c r="BD238" i="4"/>
  <c r="AV232" i="4"/>
  <c r="BJ237" i="4"/>
  <c r="AY238" i="4"/>
  <c r="AW238" i="4"/>
  <c r="BM238" i="4"/>
  <c r="AZ227" i="4"/>
  <c r="AW213" i="4"/>
  <c r="BA227" i="4"/>
  <c r="BB213" i="4"/>
  <c r="AV213" i="4"/>
  <c r="BA232" i="4"/>
  <c r="BI227" i="4"/>
  <c r="AW227" i="4"/>
  <c r="BC227" i="4"/>
  <c r="AS213" i="4"/>
  <c r="AZ213" i="4"/>
  <c r="BI213" i="4"/>
  <c r="AR209" i="4"/>
  <c r="BE209" i="4"/>
  <c r="BA209" i="4"/>
  <c r="BH249" i="4"/>
  <c r="BD249" i="4"/>
  <c r="AZ209" i="4"/>
  <c r="AY237" i="4"/>
  <c r="BH232" i="4"/>
  <c r="BM237" i="4"/>
  <c r="BL227" i="4"/>
  <c r="AX213" i="4"/>
  <c r="AV227" i="4"/>
  <c r="BK213" i="4"/>
  <c r="BM227" i="4"/>
  <c r="BJ227" i="4"/>
  <c r="AS227" i="4"/>
  <c r="BL213" i="4"/>
  <c r="AS209" i="4"/>
  <c r="AX209" i="4"/>
  <c r="BD209" i="4"/>
  <c r="BI209" i="4"/>
  <c r="BL229" i="4"/>
  <c r="BF229" i="4"/>
  <c r="AZ229" i="4"/>
  <c r="BK229" i="4"/>
  <c r="AR229" i="4"/>
  <c r="AT229" i="4"/>
  <c r="BH229" i="4"/>
  <c r="BM229" i="4"/>
  <c r="AS229" i="4"/>
  <c r="BB229" i="4"/>
  <c r="BE229" i="4"/>
  <c r="AW229" i="4"/>
  <c r="BI229" i="4"/>
  <c r="BA229" i="4"/>
  <c r="AX229" i="4"/>
  <c r="AV229" i="4"/>
  <c r="AY229" i="4"/>
  <c r="BD229" i="4"/>
  <c r="BC229" i="4"/>
  <c r="AU229" i="4"/>
  <c r="BJ229" i="4"/>
  <c r="BK239" i="4"/>
  <c r="AU239" i="4"/>
  <c r="AS239" i="4"/>
  <c r="AV239" i="4"/>
  <c r="AT239" i="4"/>
  <c r="BJ239" i="4"/>
  <c r="AW239" i="4"/>
  <c r="BE239" i="4"/>
  <c r="BH239" i="4"/>
  <c r="BB239" i="4"/>
  <c r="BC239" i="4"/>
  <c r="BA239" i="4"/>
  <c r="BM239" i="4"/>
  <c r="BF239" i="4"/>
  <c r="AY239" i="4"/>
  <c r="AR239" i="4"/>
  <c r="BL239" i="4"/>
  <c r="BI239" i="4"/>
  <c r="AZ239" i="4"/>
  <c r="BD239" i="4"/>
  <c r="AX239" i="4"/>
  <c r="BD231" i="4"/>
  <c r="BL231" i="4"/>
  <c r="BC231" i="4"/>
  <c r="AV231" i="4"/>
  <c r="BI231" i="4"/>
  <c r="AU231" i="4"/>
  <c r="AX231" i="4"/>
  <c r="BK231" i="4"/>
  <c r="AS231" i="4"/>
  <c r="AR231" i="4"/>
  <c r="AY231" i="4"/>
  <c r="AW231" i="4"/>
  <c r="AT231" i="4"/>
  <c r="BJ231" i="4"/>
  <c r="BF231" i="4"/>
  <c r="BE231" i="4"/>
  <c r="BA231" i="4"/>
  <c r="AZ231" i="4"/>
  <c r="BM231" i="4"/>
  <c r="BH231" i="4"/>
  <c r="BB231" i="4"/>
  <c r="BD204" i="4"/>
  <c r="BE204" i="4"/>
  <c r="BJ232" i="4"/>
  <c r="BM232" i="4"/>
  <c r="BK232" i="4"/>
  <c r="AR202" i="4"/>
  <c r="AY202" i="4"/>
  <c r="BA202" i="4"/>
  <c r="BF202" i="4"/>
  <c r="AV202" i="4"/>
  <c r="BK202" i="4"/>
  <c r="AT202" i="4"/>
  <c r="AZ202" i="4"/>
  <c r="BD202" i="4"/>
  <c r="BE202" i="4"/>
  <c r="BJ202" i="4"/>
  <c r="AX202" i="4"/>
  <c r="BH202" i="4"/>
  <c r="BL202" i="4"/>
  <c r="BC202" i="4"/>
  <c r="BM202" i="4"/>
  <c r="AU202" i="4"/>
  <c r="BB202" i="4"/>
  <c r="AW202" i="4"/>
  <c r="AS202" i="4"/>
  <c r="BI202" i="4"/>
  <c r="AZ226" i="4"/>
  <c r="AS226" i="4"/>
  <c r="BI226" i="4"/>
  <c r="AV226" i="4"/>
  <c r="BH226" i="4"/>
  <c r="BF226" i="4"/>
  <c r="BA226" i="4"/>
  <c r="AW226" i="4"/>
  <c r="BM226" i="4"/>
  <c r="BC226" i="4"/>
  <c r="AX226" i="4"/>
  <c r="BK226" i="4"/>
  <c r="AT226" i="4"/>
  <c r="AY226" i="4"/>
  <c r="AU226" i="4"/>
  <c r="AR226" i="4"/>
  <c r="BE226" i="4"/>
  <c r="BL226" i="4"/>
  <c r="BD226" i="4"/>
  <c r="BB226" i="4"/>
  <c r="BH207" i="4"/>
  <c r="AV207" i="4"/>
  <c r="BE207" i="4"/>
  <c r="BC207" i="4"/>
  <c r="BB207" i="4"/>
  <c r="BK207" i="4"/>
  <c r="AS207" i="4"/>
  <c r="AX207" i="4"/>
  <c r="BJ207" i="4"/>
  <c r="AW207" i="4"/>
  <c r="BI207" i="4"/>
  <c r="BD207" i="4"/>
  <c r="AY207" i="4"/>
  <c r="BA207" i="4"/>
  <c r="AU207" i="4"/>
  <c r="AT207" i="4"/>
  <c r="BL207" i="4"/>
  <c r="BM207" i="4"/>
  <c r="AR207" i="4"/>
  <c r="BF207" i="4"/>
  <c r="AZ207" i="4"/>
  <c r="AU227" i="4"/>
  <c r="AY227" i="4"/>
  <c r="BL250" i="4"/>
  <c r="AT250" i="4"/>
  <c r="AZ250" i="4"/>
  <c r="AV250" i="4"/>
  <c r="BH250" i="4"/>
  <c r="BE250" i="4"/>
  <c r="BC250" i="4"/>
  <c r="BF250" i="4"/>
  <c r="BB250" i="4"/>
  <c r="BD250" i="4"/>
  <c r="AY250" i="4"/>
  <c r="AS250" i="4"/>
  <c r="BM250" i="4"/>
  <c r="BK250" i="4"/>
  <c r="AU250" i="4"/>
  <c r="BJ250" i="4"/>
  <c r="BA250" i="4"/>
  <c r="BI250" i="4"/>
  <c r="AX250" i="4"/>
  <c r="AR250" i="4"/>
  <c r="AW250" i="4"/>
  <c r="BI248" i="4"/>
  <c r="BJ248" i="4"/>
  <c r="BL248" i="4"/>
  <c r="AT248" i="4"/>
  <c r="BC248" i="4"/>
  <c r="BD248" i="4"/>
  <c r="BE248" i="4"/>
  <c r="BH248" i="4"/>
  <c r="AY248" i="4"/>
  <c r="BB248" i="4"/>
  <c r="AU248" i="4"/>
  <c r="BK248" i="4"/>
  <c r="AZ248" i="4"/>
  <c r="BF248" i="4"/>
  <c r="BA248" i="4"/>
  <c r="AR248" i="4"/>
  <c r="AX248" i="4"/>
  <c r="AS248" i="4"/>
  <c r="AV248" i="4"/>
  <c r="BM248" i="4"/>
  <c r="AW248" i="4"/>
  <c r="BJ238" i="4"/>
  <c r="AZ238" i="4"/>
  <c r="AT238" i="4"/>
  <c r="BI238" i="4"/>
  <c r="BE238" i="4"/>
  <c r="AX238" i="4"/>
  <c r="AU238" i="4"/>
  <c r="BC238" i="4"/>
  <c r="BB203" i="4"/>
  <c r="AR203" i="4"/>
  <c r="AZ203" i="4"/>
  <c r="BA203" i="4"/>
  <c r="BH203" i="4"/>
  <c r="BM203" i="4"/>
  <c r="BE203" i="4"/>
  <c r="BD203" i="4"/>
  <c r="BI203" i="4"/>
  <c r="AU203" i="4"/>
  <c r="BK203" i="4"/>
  <c r="AV203" i="4"/>
  <c r="BJ203" i="4"/>
  <c r="AT203" i="4"/>
  <c r="BL203" i="4"/>
  <c r="BC203" i="4"/>
  <c r="BF203" i="4"/>
  <c r="AW203" i="4"/>
  <c r="AY203" i="4"/>
  <c r="AX203" i="4"/>
  <c r="AS203" i="4"/>
  <c r="AR197" i="4"/>
  <c r="BM197" i="4"/>
  <c r="AV197" i="4"/>
  <c r="AW197" i="4"/>
  <c r="BI197" i="4"/>
  <c r="BE197" i="4"/>
  <c r="AY197" i="4"/>
  <c r="AU197" i="4"/>
  <c r="BC197" i="4"/>
  <c r="BL197" i="4"/>
  <c r="BH197" i="4"/>
  <c r="BF197" i="4"/>
  <c r="BB197" i="4"/>
  <c r="BJ197" i="4"/>
  <c r="AS197" i="4"/>
  <c r="AX197" i="4"/>
  <c r="BD197" i="4"/>
  <c r="BA197" i="4"/>
  <c r="BK197" i="4"/>
  <c r="AZ197" i="4"/>
  <c r="AT197" i="4"/>
  <c r="BF191" i="4"/>
  <c r="AT191" i="4"/>
  <c r="BH191" i="4"/>
  <c r="BK191" i="4"/>
  <c r="BA191" i="4"/>
  <c r="AV191" i="4"/>
  <c r="AS191" i="4"/>
  <c r="AX191" i="4"/>
  <c r="BE191" i="4"/>
  <c r="AU191" i="4"/>
  <c r="BC191" i="4"/>
  <c r="AR191" i="4"/>
  <c r="BD191" i="4"/>
  <c r="AZ191" i="4"/>
  <c r="BL191" i="4"/>
  <c r="AW191" i="4"/>
  <c r="AY191" i="4"/>
  <c r="BM191" i="4"/>
  <c r="BL243" i="4"/>
  <c r="BA243" i="4"/>
  <c r="BM243" i="4"/>
  <c r="BB243" i="4"/>
  <c r="BK243" i="4"/>
  <c r="AV243" i="4"/>
  <c r="AR243" i="4"/>
  <c r="AU243" i="4"/>
  <c r="BF243" i="4"/>
  <c r="AS243" i="4"/>
  <c r="BH243" i="4"/>
  <c r="AZ243" i="4"/>
  <c r="BJ243" i="4"/>
  <c r="BD243" i="4"/>
  <c r="AT243" i="4"/>
  <c r="AW243" i="4"/>
  <c r="BI243" i="4"/>
  <c r="AY243" i="4"/>
  <c r="AX243" i="4"/>
  <c r="BE243" i="4"/>
  <c r="BC243" i="4"/>
  <c r="BI206" i="4"/>
  <c r="BL206" i="4"/>
  <c r="AV206" i="4"/>
  <c r="BJ206" i="4"/>
  <c r="AX206" i="4"/>
  <c r="AW206" i="4"/>
  <c r="AZ206" i="4"/>
  <c r="AR206" i="4"/>
  <c r="AS206" i="4"/>
  <c r="BE206" i="4"/>
  <c r="BD206" i="4"/>
  <c r="BB206" i="4"/>
  <c r="AT206" i="4"/>
  <c r="BM206" i="4"/>
  <c r="BH206" i="4"/>
  <c r="AY206" i="4"/>
  <c r="BA206" i="4"/>
  <c r="BK206" i="4"/>
  <c r="BC206" i="4"/>
  <c r="AU206" i="4"/>
  <c r="BF206" i="4"/>
  <c r="AY213" i="4"/>
  <c r="BJ213" i="4"/>
  <c r="BK241" i="4"/>
  <c r="BB241" i="4"/>
  <c r="AZ241" i="4"/>
  <c r="AX241" i="4"/>
  <c r="BE241" i="4"/>
  <c r="BL241" i="4"/>
  <c r="BJ241" i="4"/>
  <c r="BF241" i="4"/>
  <c r="AY241" i="4"/>
  <c r="BA241" i="4"/>
  <c r="AW241" i="4"/>
  <c r="BD241" i="4"/>
  <c r="AR241" i="4"/>
  <c r="BC241" i="4"/>
  <c r="BI241" i="4"/>
  <c r="AT241" i="4"/>
  <c r="BH241" i="4"/>
  <c r="AV241" i="4"/>
  <c r="AU241" i="4"/>
  <c r="AS241" i="4"/>
  <c r="BM241" i="4"/>
  <c r="AW210" i="4"/>
  <c r="AT210" i="4"/>
  <c r="BK210" i="4"/>
  <c r="BA210" i="4"/>
  <c r="AZ210" i="4"/>
  <c r="AV210" i="4"/>
  <c r="BM210" i="4"/>
  <c r="BJ210" i="4"/>
  <c r="AX210" i="4"/>
  <c r="AR210" i="4"/>
  <c r="BL210" i="4"/>
  <c r="AY210" i="4"/>
  <c r="BH210" i="4"/>
  <c r="AU210" i="4"/>
  <c r="BI210" i="4"/>
  <c r="BC210" i="4"/>
  <c r="BF210" i="4"/>
  <c r="BE210" i="4"/>
  <c r="AS210" i="4"/>
  <c r="BB210" i="4"/>
  <c r="BD210" i="4"/>
  <c r="BJ212" i="4"/>
  <c r="BL212" i="4"/>
  <c r="AV212" i="4"/>
  <c r="BF212" i="4"/>
  <c r="BH212" i="4"/>
  <c r="AS212" i="4"/>
  <c r="AY212" i="4"/>
  <c r="BC212" i="4"/>
  <c r="AX212" i="4"/>
  <c r="BD212" i="4"/>
  <c r="BK212" i="4"/>
  <c r="BA212" i="4"/>
  <c r="AZ212" i="4"/>
  <c r="AU212" i="4"/>
  <c r="BM212" i="4"/>
  <c r="BE212" i="4"/>
  <c r="AR212" i="4"/>
  <c r="BI212" i="4"/>
  <c r="AT212" i="4"/>
  <c r="AW212" i="4"/>
  <c r="BB212" i="4"/>
  <c r="BH194" i="4"/>
  <c r="BF194" i="4"/>
  <c r="BJ194" i="4"/>
  <c r="AV194" i="4"/>
  <c r="AW194" i="4"/>
  <c r="BI194" i="4"/>
  <c r="BA194" i="4"/>
  <c r="AU194" i="4"/>
  <c r="AY194" i="4"/>
  <c r="BM194" i="4"/>
  <c r="BC194" i="4"/>
  <c r="AT194" i="4"/>
  <c r="BB194" i="4"/>
  <c r="AR194" i="4"/>
  <c r="AZ194" i="4"/>
  <c r="AX194" i="4"/>
  <c r="BK194" i="4"/>
  <c r="BD194" i="4"/>
  <c r="BL194" i="4"/>
  <c r="AS194" i="4"/>
  <c r="BE194" i="4"/>
  <c r="AU232" i="4"/>
  <c r="AX232" i="4"/>
  <c r="BC232" i="4"/>
  <c r="BB232" i="4"/>
  <c r="BB237" i="4"/>
  <c r="AZ237" i="4"/>
  <c r="AS204" i="4"/>
  <c r="BD232" i="4"/>
  <c r="BK237" i="4"/>
  <c r="AR237" i="4"/>
  <c r="AY204" i="4"/>
  <c r="BI204" i="4"/>
  <c r="AZ232" i="4"/>
  <c r="BF232" i="4"/>
  <c r="BE232" i="4"/>
  <c r="AW232" i="4"/>
  <c r="AR232" i="4"/>
  <c r="AS232" i="4"/>
  <c r="BL201" i="4"/>
  <c r="AX201" i="4"/>
  <c r="AU201" i="4"/>
  <c r="AV201" i="4"/>
  <c r="AZ201" i="4"/>
  <c r="AY201" i="4"/>
  <c r="AR201" i="4"/>
  <c r="BH201" i="4"/>
  <c r="AT201" i="4"/>
  <c r="BK201" i="4"/>
  <c r="BA201" i="4"/>
  <c r="BD201" i="4"/>
  <c r="BC201" i="4"/>
  <c r="BB201" i="4"/>
  <c r="AS201" i="4"/>
  <c r="BF201" i="4"/>
  <c r="BI201" i="4"/>
  <c r="BM201" i="4"/>
  <c r="AW201" i="4"/>
  <c r="BJ201" i="4"/>
  <c r="BE201" i="4"/>
  <c r="BE236" i="4"/>
  <c r="AZ236" i="4"/>
  <c r="BM236" i="4"/>
  <c r="BK236" i="4"/>
  <c r="AS236" i="4"/>
  <c r="BF236" i="4"/>
  <c r="AW236" i="4"/>
  <c r="BI236" i="4"/>
  <c r="BA236" i="4"/>
  <c r="AX236" i="4"/>
  <c r="BJ236" i="4"/>
  <c r="AY236" i="4"/>
  <c r="BD236" i="4"/>
  <c r="AT236" i="4"/>
  <c r="AV236" i="4"/>
  <c r="BH236" i="4"/>
  <c r="BL236" i="4"/>
  <c r="BC236" i="4"/>
  <c r="AU236" i="4"/>
  <c r="AR236" i="4"/>
  <c r="BB236" i="4"/>
  <c r="AW214" i="4"/>
  <c r="AV214" i="4"/>
  <c r="BJ214" i="4"/>
  <c r="AY214" i="4"/>
  <c r="BL214" i="4"/>
  <c r="AR214" i="4"/>
  <c r="BE214" i="4"/>
  <c r="AS214" i="4"/>
  <c r="BC214" i="4"/>
  <c r="BI214" i="4"/>
  <c r="BF214" i="4"/>
  <c r="AT214" i="4"/>
  <c r="AX214" i="4"/>
  <c r="BD214" i="4"/>
  <c r="BK214" i="4"/>
  <c r="BB214" i="4"/>
  <c r="BH214" i="4"/>
  <c r="AZ214" i="4"/>
  <c r="BM214" i="4"/>
  <c r="BA214" i="4"/>
  <c r="AU214" i="4"/>
  <c r="AZ198" i="4"/>
  <c r="AR198" i="4"/>
  <c r="AU198" i="4"/>
  <c r="BC198" i="4"/>
  <c r="AS198" i="4"/>
  <c r="BB198" i="4"/>
  <c r="BF198" i="4"/>
  <c r="BA198" i="4"/>
  <c r="AV198" i="4"/>
  <c r="AX198" i="4"/>
  <c r="BI198" i="4"/>
  <c r="BK198" i="4"/>
  <c r="BH198" i="4"/>
  <c r="AY198" i="4"/>
  <c r="BE198" i="4"/>
  <c r="AW198" i="4"/>
  <c r="AT198" i="4"/>
  <c r="BM198" i="4"/>
  <c r="BD198" i="4"/>
  <c r="BL198" i="4"/>
  <c r="BJ198" i="4"/>
  <c r="BB215" i="4"/>
  <c r="BE215" i="4"/>
  <c r="BC215" i="4"/>
  <c r="BL215" i="4"/>
  <c r="AV215" i="4"/>
  <c r="AU215" i="4"/>
  <c r="BD215" i="4"/>
  <c r="AT215" i="4"/>
  <c r="BI215" i="4"/>
  <c r="AX215" i="4"/>
  <c r="BJ215" i="4"/>
  <c r="BH215" i="4"/>
  <c r="BM215" i="4"/>
  <c r="AR215" i="4"/>
  <c r="AZ215" i="4"/>
  <c r="AY215" i="4"/>
  <c r="BK215" i="4"/>
  <c r="AS215" i="4"/>
  <c r="BF215" i="4"/>
  <c r="AW215" i="4"/>
  <c r="BA215" i="4"/>
  <c r="BF189" i="4"/>
  <c r="BM189" i="4"/>
  <c r="BJ189" i="4"/>
  <c r="AT189" i="4"/>
  <c r="AV189" i="4"/>
  <c r="BA189" i="4"/>
  <c r="BK189" i="4"/>
  <c r="BC189" i="4"/>
  <c r="BH189" i="4"/>
  <c r="AZ189" i="4"/>
  <c r="AU189" i="4"/>
  <c r="AU235" i="4"/>
  <c r="AX235" i="4"/>
  <c r="AY235" i="4"/>
  <c r="BE235" i="4"/>
  <c r="BK235" i="4"/>
  <c r="BC235" i="4"/>
  <c r="BJ235" i="4"/>
  <c r="AZ235" i="4"/>
  <c r="BB235" i="4"/>
  <c r="AW235" i="4"/>
  <c r="BI235" i="4"/>
  <c r="BA235" i="4"/>
  <c r="AR235" i="4"/>
  <c r="AV235" i="4"/>
  <c r="BL235" i="4"/>
  <c r="BF235" i="4"/>
  <c r="BD235" i="4"/>
  <c r="AS235" i="4"/>
  <c r="BH235" i="4"/>
  <c r="BM235" i="4"/>
  <c r="AT235" i="4"/>
  <c r="BE245" i="4"/>
  <c r="BA245" i="4"/>
  <c r="AX245" i="4"/>
  <c r="AR245" i="4"/>
  <c r="BD245" i="4"/>
  <c r="AS245" i="4"/>
  <c r="BI245" i="4"/>
  <c r="BJ245" i="4"/>
  <c r="BL245" i="4"/>
  <c r="AR211" i="4"/>
  <c r="AU211" i="4"/>
  <c r="BA211" i="4"/>
  <c r="BF211" i="4"/>
  <c r="AZ246" i="4"/>
  <c r="AU246" i="4"/>
  <c r="BH246" i="4"/>
  <c r="BA246" i="4"/>
  <c r="BD246" i="4"/>
  <c r="AW246" i="4"/>
  <c r="BB246" i="4"/>
  <c r="BK246" i="4"/>
  <c r="BF246" i="4"/>
  <c r="AR246" i="4"/>
  <c r="BI246" i="4"/>
  <c r="AV246" i="4"/>
  <c r="BJ246" i="4"/>
  <c r="BE246" i="4"/>
  <c r="AT246" i="4"/>
  <c r="BM246" i="4"/>
  <c r="BL246" i="4"/>
  <c r="AY246" i="4"/>
  <c r="BC246" i="4"/>
  <c r="AX246" i="4"/>
  <c r="AS246" i="4"/>
  <c r="BC228" i="4"/>
  <c r="AU228" i="4"/>
  <c r="BA228" i="4"/>
  <c r="BH228" i="4"/>
  <c r="AZ228" i="4"/>
  <c r="AS228" i="4"/>
  <c r="AT228" i="4"/>
  <c r="BF228" i="4"/>
  <c r="BJ228" i="4"/>
  <c r="AW228" i="4"/>
  <c r="BE228" i="4"/>
  <c r="BK228" i="4"/>
  <c r="AX228" i="4"/>
  <c r="AV228" i="4"/>
  <c r="AY228" i="4"/>
  <c r="BL228" i="4"/>
  <c r="BB228" i="4"/>
  <c r="BD228" i="4"/>
  <c r="BM228" i="4"/>
  <c r="AR228" i="4"/>
  <c r="BI228" i="4"/>
  <c r="AY192" i="4"/>
  <c r="AS192" i="4"/>
  <c r="AU192" i="4"/>
  <c r="BD192" i="4"/>
  <c r="AZ192" i="4"/>
  <c r="BC192" i="4"/>
  <c r="BM192" i="4"/>
  <c r="BJ192" i="4"/>
  <c r="AT192" i="4"/>
  <c r="BK192" i="4"/>
  <c r="AR192" i="4"/>
  <c r="BE192" i="4"/>
  <c r="BF192" i="4"/>
  <c r="BA192" i="4"/>
  <c r="AX192" i="4"/>
  <c r="AV192" i="4"/>
  <c r="AW192" i="4"/>
  <c r="BI192" i="4"/>
  <c r="BH192" i="4"/>
  <c r="BB192" i="4"/>
  <c r="BL192" i="4"/>
  <c r="BA204" i="4"/>
  <c r="AR204" i="4"/>
  <c r="BC204" i="4"/>
  <c r="AX204" i="4"/>
  <c r="BJ204" i="4"/>
  <c r="AT204" i="4"/>
  <c r="BB204" i="4"/>
  <c r="BM204" i="4"/>
  <c r="BL204" i="4"/>
  <c r="AW204" i="4"/>
  <c r="AR242" i="4"/>
  <c r="AU242" i="4"/>
  <c r="BD242" i="4"/>
  <c r="BH242" i="4"/>
  <c r="BB242" i="4"/>
  <c r="AZ242" i="4"/>
  <c r="AV242" i="4"/>
  <c r="AW242" i="4"/>
  <c r="BA242" i="4"/>
  <c r="BL242" i="4"/>
  <c r="BC242" i="4"/>
  <c r="BJ242" i="4"/>
  <c r="AY242" i="4"/>
  <c r="AS242" i="4"/>
  <c r="BK242" i="4"/>
  <c r="BF242" i="4"/>
  <c r="BM242" i="4"/>
  <c r="BI242" i="4"/>
  <c r="AX242" i="4"/>
  <c r="BE242" i="4"/>
  <c r="AT242" i="4"/>
  <c r="BF237" i="4"/>
  <c r="AV237" i="4"/>
  <c r="AX237" i="4"/>
  <c r="BI237" i="4"/>
  <c r="BA237" i="4"/>
  <c r="AS237" i="4"/>
  <c r="BC237" i="4"/>
  <c r="BH237" i="4"/>
  <c r="AU237" i="4"/>
  <c r="BL237" i="4"/>
  <c r="BH208" i="4"/>
  <c r="AV208" i="4"/>
  <c r="BE208" i="4"/>
  <c r="BI208" i="4"/>
  <c r="BK208" i="4"/>
  <c r="AY208" i="4"/>
  <c r="BJ208" i="4"/>
  <c r="AZ208" i="4"/>
  <c r="AU208" i="4"/>
  <c r="BD208" i="4"/>
  <c r="AX208" i="4"/>
  <c r="BB208" i="4"/>
  <c r="BF208" i="4"/>
  <c r="BC208" i="4"/>
  <c r="AW208" i="4"/>
  <c r="AS208" i="4"/>
  <c r="AT208" i="4"/>
  <c r="BL208" i="4"/>
  <c r="BA208" i="4"/>
  <c r="BM208" i="4"/>
  <c r="AR208" i="4"/>
  <c r="BE237" i="4"/>
  <c r="AW237" i="4"/>
  <c r="AT237" i="4"/>
  <c r="AU204" i="4"/>
  <c r="AZ204" i="4"/>
  <c r="AV204" i="4"/>
  <c r="AT232" i="4"/>
  <c r="AY232" i="4"/>
  <c r="BF230" i="4"/>
  <c r="BM230" i="4"/>
  <c r="BD230" i="4"/>
  <c r="BI230" i="4"/>
  <c r="BJ230" i="4"/>
  <c r="AW230" i="4"/>
  <c r="AV230" i="4"/>
  <c r="AT230" i="4"/>
  <c r="AX230" i="4"/>
  <c r="BK230" i="4"/>
  <c r="AR230" i="4"/>
  <c r="AU230" i="4"/>
  <c r="BB230" i="4"/>
  <c r="BE230" i="4"/>
  <c r="AY230" i="4"/>
  <c r="BC230" i="4"/>
  <c r="AS230" i="4"/>
  <c r="BA230" i="4"/>
  <c r="BL230" i="4"/>
  <c r="AZ230" i="4"/>
  <c r="BH230" i="4"/>
  <c r="BE247" i="4"/>
  <c r="BH247" i="4"/>
  <c r="AX247" i="4"/>
  <c r="BJ247" i="4"/>
  <c r="BA247" i="4"/>
  <c r="AY247" i="4"/>
  <c r="BB247" i="4"/>
  <c r="BD247" i="4"/>
  <c r="AZ247" i="4"/>
  <c r="AR247" i="4"/>
  <c r="BL247" i="4"/>
  <c r="AW247" i="4"/>
  <c r="AT247" i="4"/>
  <c r="BK247" i="4"/>
  <c r="BI247" i="4"/>
  <c r="BC247" i="4"/>
  <c r="AS247" i="4"/>
  <c r="BF247" i="4"/>
  <c r="BM247" i="4"/>
  <c r="AU247" i="4"/>
  <c r="AV247" i="4"/>
  <c r="AW244" i="4"/>
  <c r="BI244" i="4"/>
  <c r="BL244" i="4"/>
  <c r="AY244" i="4"/>
  <c r="BC244" i="4"/>
  <c r="BB244" i="4"/>
  <c r="BH244" i="4"/>
  <c r="BK244" i="4"/>
  <c r="AZ244" i="4"/>
  <c r="BM244" i="4"/>
  <c r="BF244" i="4"/>
  <c r="BE244" i="4"/>
  <c r="BA244" i="4"/>
  <c r="AV244" i="4"/>
  <c r="AT244" i="4"/>
  <c r="AU244" i="4"/>
  <c r="AY233" i="4"/>
  <c r="BC233" i="4"/>
  <c r="AV233" i="4"/>
  <c r="BL233" i="4"/>
  <c r="BH233" i="4"/>
  <c r="BK233" i="4"/>
  <c r="BJ233" i="4"/>
  <c r="BA233" i="4"/>
  <c r="BF233" i="4"/>
  <c r="BI233" i="4"/>
  <c r="AS233" i="4"/>
  <c r="BD233" i="4"/>
  <c r="BM233" i="4"/>
  <c r="BB233" i="4"/>
  <c r="AU233" i="4"/>
  <c r="BE233" i="4"/>
  <c r="BD199" i="4"/>
  <c r="AZ199" i="4"/>
  <c r="BK199" i="4"/>
  <c r="BI199" i="4"/>
  <c r="BC199" i="4"/>
  <c r="AX199" i="4"/>
  <c r="AT199" i="4"/>
  <c r="BJ199" i="4"/>
  <c r="BH199" i="4"/>
  <c r="BB199" i="4"/>
  <c r="AU199" i="4"/>
  <c r="BF199" i="4"/>
  <c r="AS199" i="4"/>
  <c r="AW199" i="4"/>
  <c r="BA199" i="4"/>
  <c r="AY199" i="4"/>
  <c r="AR199" i="4"/>
  <c r="AV199" i="4"/>
  <c r="BL199" i="4"/>
  <c r="BM199" i="4"/>
  <c r="BE199" i="4"/>
  <c r="AY190" i="4"/>
  <c r="BB190" i="4"/>
  <c r="BK190" i="4"/>
  <c r="BI190" i="4"/>
  <c r="BH190" i="4"/>
  <c r="AZ190" i="4"/>
  <c r="AR190" i="4"/>
  <c r="BJ190" i="4"/>
  <c r="BA190" i="4"/>
  <c r="AU190" i="4"/>
  <c r="BD190" i="4"/>
  <c r="BM190" i="4"/>
  <c r="AW190" i="4"/>
  <c r="BL190" i="4"/>
  <c r="BE190" i="4"/>
  <c r="AX190" i="4"/>
  <c r="BF190" i="4"/>
  <c r="BC190" i="4"/>
  <c r="AS190" i="4"/>
  <c r="AV190" i="4"/>
  <c r="AT190" i="4"/>
  <c r="BI200" i="4"/>
  <c r="AR200" i="4"/>
  <c r="BA200" i="4"/>
  <c r="BF200" i="4"/>
  <c r="BL200" i="4"/>
  <c r="BE200" i="4"/>
  <c r="BM200" i="4"/>
  <c r="BB200" i="4"/>
  <c r="BC200" i="4"/>
  <c r="BH200" i="4"/>
  <c r="AT200" i="4"/>
  <c r="AU200" i="4"/>
  <c r="AZ200" i="4"/>
  <c r="AS200" i="4"/>
  <c r="BD200" i="4"/>
  <c r="AW200" i="4"/>
  <c r="AY200" i="4"/>
  <c r="BJ200" i="4"/>
  <c r="AV200" i="4"/>
  <c r="AX200" i="4"/>
  <c r="BK200" i="4"/>
  <c r="BI196" i="4"/>
  <c r="BK196" i="4"/>
  <c r="AY196" i="4"/>
  <c r="BC196" i="4"/>
  <c r="BF196" i="4"/>
  <c r="BE196" i="4"/>
  <c r="BM196" i="4"/>
  <c r="BJ196" i="4"/>
  <c r="BH196" i="4"/>
  <c r="AZ196" i="4"/>
  <c r="BD196" i="4"/>
  <c r="BL196" i="4"/>
  <c r="BB196" i="4"/>
  <c r="AV196" i="4"/>
  <c r="AT196" i="4"/>
  <c r="AX196" i="4"/>
  <c r="BA196" i="4"/>
  <c r="AR196" i="4"/>
  <c r="AS196" i="4"/>
  <c r="AU196" i="4"/>
  <c r="BK205" i="4"/>
  <c r="BM205" i="4"/>
  <c r="AZ205" i="4"/>
  <c r="BL205" i="4"/>
  <c r="AU205" i="4"/>
  <c r="AV205" i="4"/>
  <c r="BI205" i="4"/>
  <c r="AT205" i="4"/>
  <c r="BD205" i="4"/>
  <c r="BA205" i="4"/>
  <c r="BF205" i="4"/>
  <c r="BC205" i="4"/>
  <c r="BB205" i="4"/>
  <c r="AS205" i="4"/>
  <c r="AX205" i="4"/>
  <c r="AW205" i="4"/>
  <c r="BH205" i="4"/>
  <c r="BJ205" i="4"/>
  <c r="BE205" i="4"/>
  <c r="BA234" i="4"/>
  <c r="AR234" i="4"/>
  <c r="BK234" i="4"/>
  <c r="AX234" i="4"/>
  <c r="BE234" i="4"/>
  <c r="BL234" i="4"/>
  <c r="BD234" i="4"/>
  <c r="BH234" i="4"/>
  <c r="BB234" i="4"/>
  <c r="AZ234" i="4"/>
  <c r="AW234" i="4"/>
  <c r="BI234" i="4"/>
  <c r="AV234" i="4"/>
  <c r="BJ234" i="4"/>
  <c r="AT234" i="4"/>
  <c r="BC234" i="4"/>
  <c r="BF234" i="4"/>
  <c r="AS234" i="4"/>
  <c r="AY234" i="4"/>
  <c r="AU234" i="4"/>
  <c r="BM234" i="4"/>
  <c r="AR240" i="4"/>
  <c r="AX240" i="4"/>
  <c r="AV195" i="4"/>
  <c r="BC195" i="4"/>
  <c r="BD195" i="4"/>
  <c r="E23" i="1"/>
  <c r="D23" i="1"/>
  <c r="H23" i="1"/>
  <c r="J23" i="1"/>
  <c r="G23" i="1"/>
  <c r="M23" i="1"/>
  <c r="O21" i="1" s="1"/>
  <c r="O19" i="1" s="1"/>
  <c r="F23" i="1"/>
  <c r="I23" i="1"/>
  <c r="L23" i="1"/>
  <c r="K23" i="1"/>
  <c r="A25" i="1"/>
  <c r="B24" i="1"/>
  <c r="C24" i="1" s="1"/>
  <c r="N24" i="1"/>
  <c r="G30" i="16"/>
  <c r="AG49" i="16"/>
  <c r="AG48" i="16" s="1"/>
  <c r="AE51" i="16" s="1"/>
  <c r="E40" i="4"/>
  <c r="J3" i="8"/>
  <c r="D4" i="8" s="1"/>
  <c r="AB18" i="16"/>
  <c r="AF17" i="16"/>
  <c r="U137" i="4"/>
  <c r="AC136" i="4"/>
  <c r="T20" i="1"/>
  <c r="E55" i="1"/>
  <c r="AI43" i="4"/>
  <c r="AF43" i="4" s="1"/>
  <c r="J55" i="1"/>
  <c r="I62" i="1" s="1"/>
  <c r="AI46" i="4"/>
  <c r="H43" i="4"/>
  <c r="AF45" i="4"/>
  <c r="V50" i="4" s="1"/>
  <c r="B16" i="8" l="1"/>
  <c r="B17" i="8" s="1"/>
  <c r="X1" i="14"/>
  <c r="S15" i="14" s="1"/>
  <c r="T15" i="14" s="1"/>
  <c r="B7" i="6"/>
  <c r="D11" i="8" s="1"/>
  <c r="B12" i="17"/>
  <c r="B3" i="17" s="1"/>
  <c r="F22" i="10"/>
  <c r="BM251" i="4"/>
  <c r="BM253" i="4" s="1"/>
  <c r="BM217" i="4"/>
  <c r="M24" i="1"/>
  <c r="P21" i="1" s="1"/>
  <c r="P19" i="1" s="1"/>
  <c r="I24" i="1"/>
  <c r="F24" i="1"/>
  <c r="K24" i="1"/>
  <c r="H24" i="1"/>
  <c r="D24" i="1"/>
  <c r="E24" i="1"/>
  <c r="J24" i="1"/>
  <c r="G24" i="1"/>
  <c r="L24" i="1"/>
  <c r="AG46" i="16"/>
  <c r="AF44" i="4"/>
  <c r="AG46" i="15"/>
  <c r="AG43" i="4"/>
  <c r="AB19" i="16"/>
  <c r="AF18" i="16"/>
  <c r="D62" i="1"/>
  <c r="J58" i="1"/>
  <c r="I102" i="1" s="1"/>
  <c r="U138" i="4"/>
  <c r="AC138" i="4" s="1"/>
  <c r="AC137" i="4"/>
  <c r="O24" i="1"/>
  <c r="O22" i="1"/>
  <c r="O23" i="1"/>
  <c r="O25" i="1"/>
  <c r="I63" i="1"/>
  <c r="I64" i="1" s="1"/>
  <c r="I65" i="1" s="1"/>
  <c r="I66" i="1" s="1"/>
  <c r="I67" i="1" s="1"/>
  <c r="I68" i="1" s="1"/>
  <c r="I69" i="1" s="1"/>
  <c r="I70" i="1" s="1"/>
  <c r="I71" i="1" s="1"/>
  <c r="I72" i="1" s="1"/>
  <c r="I73" i="1" s="1"/>
  <c r="I74" i="1" s="1"/>
  <c r="I75" i="1" s="1"/>
  <c r="I76" i="1" s="1"/>
  <c r="I77" i="1" s="1"/>
  <c r="I78" i="1" s="1"/>
  <c r="I79" i="1" s="1"/>
  <c r="I80" i="1" s="1"/>
  <c r="I81" i="1" s="1"/>
  <c r="I82" i="1" s="1"/>
  <c r="I83" i="1" s="1"/>
  <c r="I84" i="1" s="1"/>
  <c r="I85" i="1" s="1"/>
  <c r="I86" i="1" s="1"/>
  <c r="I87" i="1" s="1"/>
  <c r="I88" i="1" s="1"/>
  <c r="I89" i="1" s="1"/>
  <c r="I90" i="1" s="1"/>
  <c r="I91" i="1" s="1"/>
  <c r="I92" i="1" s="1"/>
  <c r="I93" i="1" s="1"/>
  <c r="I94" i="1" s="1"/>
  <c r="I95" i="1" s="1"/>
  <c r="I96" i="1" s="1"/>
  <c r="I97" i="1" s="1"/>
  <c r="I98" i="1" s="1"/>
  <c r="I99" i="1" s="1"/>
  <c r="I100" i="1" s="1"/>
  <c r="I101" i="1" s="1"/>
  <c r="U20" i="1"/>
  <c r="B25" i="1"/>
  <c r="A26" i="1"/>
  <c r="C25" i="1"/>
  <c r="N25" i="1"/>
  <c r="BM252" i="4" l="1"/>
  <c r="B18" i="8"/>
  <c r="B19" i="8" s="1"/>
  <c r="B20" i="8" s="1"/>
  <c r="CJ222" i="4"/>
  <c r="EF223" i="4" s="1"/>
  <c r="AA1" i="14"/>
  <c r="M15" i="14" s="1"/>
  <c r="E2" i="12"/>
  <c r="F2" i="12" s="1"/>
  <c r="C7" i="6" s="1"/>
  <c r="E11" i="8" s="1"/>
  <c r="N40" i="6"/>
  <c r="Y1" i="14"/>
  <c r="U8" i="14" s="1"/>
  <c r="X27" i="14"/>
  <c r="J38" i="14" s="1"/>
  <c r="X2" i="14"/>
  <c r="J2" i="14" s="1"/>
  <c r="S13" i="14"/>
  <c r="T13" i="14" s="1"/>
  <c r="X43" i="14"/>
  <c r="J49" i="14" s="1"/>
  <c r="S14" i="14"/>
  <c r="T14" i="14" s="1"/>
  <c r="S18" i="14"/>
  <c r="T18" i="14" s="1"/>
  <c r="BL251" i="4"/>
  <c r="BK251" i="4" s="1"/>
  <c r="BK252" i="4" s="1"/>
  <c r="BM218" i="4"/>
  <c r="BL217" i="4"/>
  <c r="A27" i="1"/>
  <c r="B26" i="1"/>
  <c r="C26" i="1"/>
  <c r="N26" i="1"/>
  <c r="O26" i="1"/>
  <c r="AF19" i="16"/>
  <c r="AB20" i="16"/>
  <c r="V49" i="4"/>
  <c r="E78" i="4"/>
  <c r="E84" i="4" s="1"/>
  <c r="J25" i="1"/>
  <c r="G25" i="1"/>
  <c r="H25" i="1"/>
  <c r="E25" i="1"/>
  <c r="L25" i="1"/>
  <c r="I25" i="1"/>
  <c r="K25" i="1"/>
  <c r="F25" i="1"/>
  <c r="D25" i="1"/>
  <c r="M25" i="1"/>
  <c r="Q21" i="1" s="1"/>
  <c r="Q19" i="1" s="1"/>
  <c r="V20" i="1"/>
  <c r="P27" i="1"/>
  <c r="P22" i="1"/>
  <c r="P25" i="1"/>
  <c r="P24" i="1"/>
  <c r="P26" i="1"/>
  <c r="P23" i="1"/>
  <c r="M12" i="14" l="1"/>
  <c r="L33" i="14"/>
  <c r="L9" i="14"/>
  <c r="L34" i="14"/>
  <c r="L14" i="14"/>
  <c r="M39" i="14"/>
  <c r="L50" i="14"/>
  <c r="L17" i="14"/>
  <c r="L47" i="14"/>
  <c r="M26" i="14"/>
  <c r="L10" i="14"/>
  <c r="C15" i="15"/>
  <c r="G30" i="15" s="1"/>
  <c r="M28" i="14"/>
  <c r="M10" i="14"/>
  <c r="L60" i="14"/>
  <c r="L20" i="14"/>
  <c r="L28" i="14"/>
  <c r="L36" i="14"/>
  <c r="M64" i="14"/>
  <c r="L21" i="14"/>
  <c r="L54" i="14"/>
  <c r="M44" i="14"/>
  <c r="M57" i="14"/>
  <c r="L8" i="14"/>
  <c r="L7" i="14"/>
  <c r="M6" i="14"/>
  <c r="M56" i="14"/>
  <c r="L5" i="14"/>
  <c r="L4" i="14"/>
  <c r="L42" i="14"/>
  <c r="L19" i="14"/>
  <c r="M55" i="14"/>
  <c r="M59" i="14"/>
  <c r="M31" i="14"/>
  <c r="L12" i="14"/>
  <c r="M45" i="14"/>
  <c r="L57" i="14"/>
  <c r="M41" i="14"/>
  <c r="M37" i="14"/>
  <c r="M53" i="14"/>
  <c r="M46" i="14"/>
  <c r="L18" i="14"/>
  <c r="M42" i="14"/>
  <c r="M8" i="14"/>
  <c r="L46" i="14"/>
  <c r="L25" i="14"/>
  <c r="L3" i="14"/>
  <c r="U34" i="14"/>
  <c r="CK222" i="4"/>
  <c r="L22" i="14"/>
  <c r="M54" i="14"/>
  <c r="L27" i="14"/>
  <c r="L41" i="14"/>
  <c r="L40" i="14"/>
  <c r="L35" i="14"/>
  <c r="L13" i="14"/>
  <c r="M33" i="14"/>
  <c r="B21" i="8"/>
  <c r="K43" i="6"/>
  <c r="K42" i="6"/>
  <c r="K41" i="6"/>
  <c r="D24" i="8"/>
  <c r="U61" i="14"/>
  <c r="U37" i="14"/>
  <c r="U20" i="14"/>
  <c r="U31" i="14"/>
  <c r="O54" i="14"/>
  <c r="U45" i="14"/>
  <c r="U114" i="14"/>
  <c r="U52" i="14"/>
  <c r="U120" i="14"/>
  <c r="U63" i="14"/>
  <c r="O40" i="14"/>
  <c r="U32" i="14"/>
  <c r="O34" i="14"/>
  <c r="U60" i="14"/>
  <c r="O51" i="14"/>
  <c r="BL252" i="4"/>
  <c r="M11" i="14"/>
  <c r="M50" i="14"/>
  <c r="L49" i="14"/>
  <c r="M5" i="14"/>
  <c r="L32" i="14"/>
  <c r="M49" i="14"/>
  <c r="L11" i="14"/>
  <c r="L29" i="14"/>
  <c r="M19" i="14"/>
  <c r="M63" i="14"/>
  <c r="M20" i="14"/>
  <c r="M16" i="14"/>
  <c r="M22" i="14"/>
  <c r="L23" i="14"/>
  <c r="M51" i="14"/>
  <c r="M2" i="14"/>
  <c r="L51" i="14"/>
  <c r="M60" i="14"/>
  <c r="M32" i="14"/>
  <c r="M36" i="14"/>
  <c r="L2" i="14"/>
  <c r="L15" i="14"/>
  <c r="M21" i="14"/>
  <c r="L39" i="14"/>
  <c r="L63" i="14"/>
  <c r="M38" i="14"/>
  <c r="L64" i="14"/>
  <c r="M62" i="14"/>
  <c r="M23" i="14"/>
  <c r="M40" i="14"/>
  <c r="L48" i="14"/>
  <c r="L31" i="14"/>
  <c r="L52" i="14"/>
  <c r="M9" i="14"/>
  <c r="M24" i="14"/>
  <c r="L58" i="14"/>
  <c r="L44" i="14"/>
  <c r="M48" i="14"/>
  <c r="M4" i="14"/>
  <c r="M14" i="14"/>
  <c r="L56" i="14"/>
  <c r="M18" i="14"/>
  <c r="M25" i="14"/>
  <c r="O46" i="14"/>
  <c r="U49" i="14"/>
  <c r="U26" i="14"/>
  <c r="U121" i="14"/>
  <c r="J54" i="14"/>
  <c r="U27" i="14"/>
  <c r="M3" i="14"/>
  <c r="M58" i="14"/>
  <c r="M29" i="14"/>
  <c r="L59" i="14"/>
  <c r="M43" i="14"/>
  <c r="M35" i="14"/>
  <c r="L24" i="14"/>
  <c r="L16" i="14"/>
  <c r="M17" i="14"/>
  <c r="M47" i="14"/>
  <c r="L30" i="14"/>
  <c r="M52" i="14"/>
  <c r="L53" i="14"/>
  <c r="L43" i="14"/>
  <c r="L45" i="14"/>
  <c r="L62" i="14"/>
  <c r="L38" i="14"/>
  <c r="M61" i="14"/>
  <c r="M34" i="14"/>
  <c r="L61" i="14"/>
  <c r="L26" i="14"/>
  <c r="M30" i="14"/>
  <c r="L37" i="14"/>
  <c r="M7" i="14"/>
  <c r="L6" i="14"/>
  <c r="M13" i="14"/>
  <c r="L55" i="14"/>
  <c r="J30" i="14"/>
  <c r="O55" i="14"/>
  <c r="U33" i="14"/>
  <c r="U44" i="14"/>
  <c r="U47" i="14"/>
  <c r="U12" i="14"/>
  <c r="J36" i="14"/>
  <c r="J11" i="14"/>
  <c r="J27" i="14"/>
  <c r="I27" i="14" s="1"/>
  <c r="M27" i="14" s="1"/>
  <c r="J17" i="14"/>
  <c r="B17" i="14" s="1"/>
  <c r="J53" i="14"/>
  <c r="J6" i="14"/>
  <c r="H41" i="6"/>
  <c r="J22" i="14"/>
  <c r="U21" i="14"/>
  <c r="J10" i="14"/>
  <c r="D22" i="8"/>
  <c r="C22" i="8" s="1"/>
  <c r="J26" i="14"/>
  <c r="J12" i="14"/>
  <c r="J62" i="14"/>
  <c r="J43" i="14"/>
  <c r="J8" i="14"/>
  <c r="J59" i="14"/>
  <c r="J48" i="14"/>
  <c r="J52" i="14"/>
  <c r="J51" i="14"/>
  <c r="J16" i="14"/>
  <c r="J5" i="14"/>
  <c r="J50" i="14"/>
  <c r="J46" i="14"/>
  <c r="B46" i="14" s="1"/>
  <c r="D23" i="8"/>
  <c r="J19" i="14"/>
  <c r="J44" i="14"/>
  <c r="J7" i="14"/>
  <c r="J4" i="14"/>
  <c r="J21" i="14"/>
  <c r="J57" i="14"/>
  <c r="J60" i="14"/>
  <c r="U51" i="14"/>
  <c r="U43" i="14"/>
  <c r="U116" i="14"/>
  <c r="O26" i="14"/>
  <c r="O53" i="14"/>
  <c r="O27" i="14"/>
  <c r="O50" i="14"/>
  <c r="U23" i="14"/>
  <c r="O48" i="14"/>
  <c r="U18" i="14"/>
  <c r="O35" i="14"/>
  <c r="O42" i="14"/>
  <c r="U42" i="14"/>
  <c r="O31" i="14"/>
  <c r="O38" i="14"/>
  <c r="U56" i="14"/>
  <c r="U53" i="14"/>
  <c r="O36" i="14"/>
  <c r="U58" i="14"/>
  <c r="U36" i="14"/>
  <c r="U16" i="14"/>
  <c r="O62" i="14"/>
  <c r="O49" i="14"/>
  <c r="U117" i="14"/>
  <c r="U2" i="14"/>
  <c r="U4" i="14"/>
  <c r="U48" i="14"/>
  <c r="O37" i="14"/>
  <c r="U28" i="14"/>
  <c r="U13" i="14"/>
  <c r="O59" i="14"/>
  <c r="O32" i="14"/>
  <c r="U3" i="14"/>
  <c r="U15" i="14"/>
  <c r="U46" i="14"/>
  <c r="U5" i="14"/>
  <c r="O44" i="14"/>
  <c r="U11" i="14"/>
  <c r="O47" i="14"/>
  <c r="O52" i="14"/>
  <c r="U54" i="14"/>
  <c r="U29" i="14"/>
  <c r="O45" i="14"/>
  <c r="U118" i="14"/>
  <c r="U30" i="14"/>
  <c r="O25" i="14"/>
  <c r="O56" i="14"/>
  <c r="O57" i="14"/>
  <c r="U6" i="14"/>
  <c r="O29" i="14"/>
  <c r="U19" i="14"/>
  <c r="U57" i="14"/>
  <c r="O39" i="14"/>
  <c r="O28" i="14"/>
  <c r="U9" i="14"/>
  <c r="O61" i="14"/>
  <c r="U10" i="14"/>
  <c r="U35" i="14"/>
  <c r="O60" i="14"/>
  <c r="U64" i="14"/>
  <c r="U59" i="14"/>
  <c r="O33" i="14"/>
  <c r="U50" i="14"/>
  <c r="U39" i="14"/>
  <c r="U55" i="14"/>
  <c r="U25" i="14"/>
  <c r="U119" i="14"/>
  <c r="U62" i="14"/>
  <c r="O23" i="14"/>
  <c r="O30" i="14"/>
  <c r="O43" i="14"/>
  <c r="U17" i="14"/>
  <c r="U40" i="14"/>
  <c r="O41" i="14"/>
  <c r="U22" i="14"/>
  <c r="U24" i="14"/>
  <c r="O64" i="14"/>
  <c r="U41" i="14"/>
  <c r="O58" i="14"/>
  <c r="U38" i="14"/>
  <c r="J35" i="14"/>
  <c r="J32" i="14"/>
  <c r="J42" i="14"/>
  <c r="J25" i="14"/>
  <c r="J24" i="14"/>
  <c r="J15" i="14"/>
  <c r="J58" i="14"/>
  <c r="J9" i="14"/>
  <c r="J20" i="14"/>
  <c r="J55" i="14"/>
  <c r="J61" i="14"/>
  <c r="J56" i="14"/>
  <c r="O24" i="14"/>
  <c r="U14" i="14"/>
  <c r="U115" i="14"/>
  <c r="U7" i="14"/>
  <c r="O63" i="14"/>
  <c r="J23" i="14"/>
  <c r="J29" i="14"/>
  <c r="J39" i="14"/>
  <c r="J34" i="14"/>
  <c r="J37" i="14"/>
  <c r="J40" i="14"/>
  <c r="J31" i="14"/>
  <c r="J28" i="14"/>
  <c r="B28" i="14" s="1"/>
  <c r="J33" i="14"/>
  <c r="J41" i="14"/>
  <c r="J64" i="14"/>
  <c r="J63" i="14"/>
  <c r="J45" i="14"/>
  <c r="J47" i="14"/>
  <c r="J18" i="14"/>
  <c r="J14" i="14"/>
  <c r="J13" i="14"/>
  <c r="J3" i="14"/>
  <c r="BJ251" i="4"/>
  <c r="BJ252" i="4" s="1"/>
  <c r="BK253" i="4"/>
  <c r="BL253" i="4"/>
  <c r="BK217" i="4"/>
  <c r="BL218" i="4"/>
  <c r="AB21" i="16"/>
  <c r="AF20" i="16"/>
  <c r="W20" i="1"/>
  <c r="AN80" i="4"/>
  <c r="AO80" i="4" s="1"/>
  <c r="AB74" i="4"/>
  <c r="AC74" i="4" s="1"/>
  <c r="AN105" i="4"/>
  <c r="AO105" i="4" s="1"/>
  <c r="BB75" i="4"/>
  <c r="BC75" i="4" s="1"/>
  <c r="BB80" i="4"/>
  <c r="BC80" i="4" s="1"/>
  <c r="AN71" i="4"/>
  <c r="AO71" i="4" s="1"/>
  <c r="J4" i="8"/>
  <c r="Z104" i="4"/>
  <c r="AA104" i="4" s="1"/>
  <c r="AB80" i="4"/>
  <c r="AC80" i="4" s="1"/>
  <c r="AN77" i="4"/>
  <c r="AO77" i="4" s="1"/>
  <c r="BB73" i="4"/>
  <c r="BC73" i="4" s="1"/>
  <c r="AB82" i="4"/>
  <c r="AC82" i="4" s="1"/>
  <c r="BB79" i="4"/>
  <c r="BC79" i="4" s="1"/>
  <c r="AN103" i="4"/>
  <c r="AO103" i="4" s="1"/>
  <c r="AN78" i="4"/>
  <c r="AO78" i="4" s="1"/>
  <c r="BB78" i="4"/>
  <c r="BC78" i="4" s="1"/>
  <c r="AN110" i="4"/>
  <c r="AO110" i="4" s="1"/>
  <c r="BB72" i="4"/>
  <c r="BC72" i="4" s="1"/>
  <c r="AN75" i="4"/>
  <c r="AO75" i="4" s="1"/>
  <c r="AB73" i="4"/>
  <c r="AC73" i="4" s="1"/>
  <c r="AN107" i="4"/>
  <c r="AO107" i="4" s="1"/>
  <c r="AB71" i="4"/>
  <c r="AC71" i="4" s="1"/>
  <c r="AB70" i="4"/>
  <c r="AC70" i="4" s="1"/>
  <c r="G96" i="4"/>
  <c r="BB76" i="4"/>
  <c r="BC76" i="4" s="1"/>
  <c r="AN106" i="4"/>
  <c r="AO106" i="4" s="1"/>
  <c r="AN104" i="4"/>
  <c r="AO104" i="4" s="1"/>
  <c r="AB72" i="4"/>
  <c r="AC72" i="4" s="1"/>
  <c r="AN74" i="4"/>
  <c r="AO74" i="4" s="1"/>
  <c r="AB76" i="4"/>
  <c r="AC76" i="4" s="1"/>
  <c r="BB77" i="4"/>
  <c r="BC77" i="4" s="1"/>
  <c r="BB71" i="4"/>
  <c r="BC71" i="4" s="1"/>
  <c r="BB70" i="4"/>
  <c r="BC70" i="4" s="1"/>
  <c r="BB81" i="4"/>
  <c r="BC81" i="4" s="1"/>
  <c r="J6" i="8"/>
  <c r="F4" i="8" s="1"/>
  <c r="AB78" i="4"/>
  <c r="AC78" i="4" s="1"/>
  <c r="Z106" i="4"/>
  <c r="AA106" i="4" s="1"/>
  <c r="AB75" i="4"/>
  <c r="AC75" i="4" s="1"/>
  <c r="AN73" i="4"/>
  <c r="AO73" i="4" s="1"/>
  <c r="AN108" i="4"/>
  <c r="AO108" i="4" s="1"/>
  <c r="AB77" i="4"/>
  <c r="AC77" i="4" s="1"/>
  <c r="AN70" i="4"/>
  <c r="AO70" i="4" s="1"/>
  <c r="AN72" i="4"/>
  <c r="AO72" i="4" s="1"/>
  <c r="BB74" i="4"/>
  <c r="BC74" i="4" s="1"/>
  <c r="AB81" i="4"/>
  <c r="AC81" i="4" s="1"/>
  <c r="AN79" i="4"/>
  <c r="AO79" i="4" s="1"/>
  <c r="AB79" i="4"/>
  <c r="AC79" i="4" s="1"/>
  <c r="Z105" i="4"/>
  <c r="AA105" i="4" s="1"/>
  <c r="AN109" i="4"/>
  <c r="AO109" i="4" s="1"/>
  <c r="AN76" i="4"/>
  <c r="AO76" i="4" s="1"/>
  <c r="AB83" i="4"/>
  <c r="AC83" i="4" s="1"/>
  <c r="E26" i="1"/>
  <c r="G26" i="1"/>
  <c r="M26" i="1"/>
  <c r="R21" i="1" s="1"/>
  <c r="R19" i="1" s="1"/>
  <c r="I26" i="1"/>
  <c r="J26" i="1"/>
  <c r="L26" i="1"/>
  <c r="F26" i="1"/>
  <c r="K26" i="1"/>
  <c r="H26" i="1"/>
  <c r="D26" i="1"/>
  <c r="V51" i="4"/>
  <c r="Q27" i="1"/>
  <c r="Q24" i="1"/>
  <c r="Q25" i="1"/>
  <c r="Q26" i="1"/>
  <c r="Q23" i="1"/>
  <c r="Q22" i="1"/>
  <c r="C27" i="1"/>
  <c r="A28" i="1"/>
  <c r="B27" i="1"/>
  <c r="N27" i="1"/>
  <c r="O27" i="1"/>
  <c r="A21" i="14" l="1"/>
  <c r="P24" i="8"/>
  <c r="F24" i="8" s="1"/>
  <c r="P23" i="8"/>
  <c r="F23" i="8" s="1"/>
  <c r="B21" i="14"/>
  <c r="AG49" i="15"/>
  <c r="AG48" i="15" s="1"/>
  <c r="AE51" i="15" s="1"/>
  <c r="BJ253" i="4"/>
  <c r="BI251" i="4"/>
  <c r="BI253" i="4" s="1"/>
  <c r="B33" i="14"/>
  <c r="B16" i="14"/>
  <c r="A12" i="14"/>
  <c r="A2" i="14"/>
  <c r="B57" i="14"/>
  <c r="B41" i="14"/>
  <c r="B42" i="14"/>
  <c r="B45" i="14"/>
  <c r="B2" i="14"/>
  <c r="B54" i="14"/>
  <c r="E24" i="8"/>
  <c r="B31" i="14"/>
  <c r="B39" i="14"/>
  <c r="B56" i="14"/>
  <c r="B44" i="14"/>
  <c r="B22" i="14"/>
  <c r="B36" i="14"/>
  <c r="C57" i="14" s="1"/>
  <c r="A57" i="14" s="1"/>
  <c r="B7" i="14"/>
  <c r="C28" i="14" s="1"/>
  <c r="A28" i="14" s="1"/>
  <c r="C24" i="8"/>
  <c r="B29" i="14"/>
  <c r="B58" i="14"/>
  <c r="A5" i="14"/>
  <c r="B27" i="14"/>
  <c r="B64" i="14"/>
  <c r="B35" i="14"/>
  <c r="B60" i="14"/>
  <c r="B51" i="14"/>
  <c r="B26" i="14"/>
  <c r="B6" i="14"/>
  <c r="A11" i="14"/>
  <c r="B30" i="14"/>
  <c r="B59" i="14"/>
  <c r="B4" i="14"/>
  <c r="B38" i="14"/>
  <c r="B49" i="14"/>
  <c r="C49" i="14" s="1"/>
  <c r="A49" i="14" s="1"/>
  <c r="B12" i="14"/>
  <c r="B3" i="14"/>
  <c r="B47" i="14"/>
  <c r="B25" i="14"/>
  <c r="C46" i="14" s="1"/>
  <c r="A46" i="14" s="1"/>
  <c r="B43" i="14"/>
  <c r="C43" i="14" s="1"/>
  <c r="A43" i="14" s="1"/>
  <c r="B53" i="14"/>
  <c r="B61" i="14"/>
  <c r="B34" i="14"/>
  <c r="B24" i="14"/>
  <c r="C45" i="14" s="1"/>
  <c r="A45" i="14" s="1"/>
  <c r="A16" i="14"/>
  <c r="B11" i="14"/>
  <c r="B63" i="14"/>
  <c r="B40" i="14"/>
  <c r="B50" i="14"/>
  <c r="B52" i="14"/>
  <c r="B37" i="14"/>
  <c r="B23" i="14"/>
  <c r="B55" i="14"/>
  <c r="B32" i="14"/>
  <c r="B19" i="14"/>
  <c r="B48" i="14"/>
  <c r="B62" i="14"/>
  <c r="C23" i="8"/>
  <c r="A22" i="14"/>
  <c r="A17" i="14"/>
  <c r="A4" i="14"/>
  <c r="A6" i="14"/>
  <c r="E22" i="8"/>
  <c r="B10" i="14"/>
  <c r="A10" i="14"/>
  <c r="E23" i="8"/>
  <c r="B22" i="8"/>
  <c r="B23" i="8" s="1"/>
  <c r="A7" i="14"/>
  <c r="B5" i="14"/>
  <c r="B8" i="14"/>
  <c r="A8" i="14"/>
  <c r="P22" i="8"/>
  <c r="F22" i="8" s="1"/>
  <c r="A19" i="14"/>
  <c r="A13" i="14"/>
  <c r="B13" i="14"/>
  <c r="A9" i="14"/>
  <c r="B9" i="14"/>
  <c r="B14" i="14"/>
  <c r="A14" i="14"/>
  <c r="B15" i="14"/>
  <c r="A15" i="14"/>
  <c r="A18" i="14"/>
  <c r="B18" i="14"/>
  <c r="A20" i="14"/>
  <c r="B20" i="14"/>
  <c r="A3" i="14"/>
  <c r="BJ217" i="4"/>
  <c r="BK218" i="4"/>
  <c r="AP76" i="4"/>
  <c r="AQ76" i="4"/>
  <c r="AP79" i="4"/>
  <c r="AQ79" i="4" s="1"/>
  <c r="AP70" i="4"/>
  <c r="AQ70" i="4"/>
  <c r="AR70" i="4" s="1"/>
  <c r="AE75" i="4"/>
  <c r="AD75" i="4"/>
  <c r="BD81" i="4"/>
  <c r="BE81" i="4" s="1"/>
  <c r="AE76" i="4"/>
  <c r="AD76" i="4"/>
  <c r="AQ106" i="4"/>
  <c r="AP106" i="4"/>
  <c r="AE71" i="4"/>
  <c r="AD71" i="4"/>
  <c r="BD72" i="4"/>
  <c r="BE72" i="4"/>
  <c r="AQ103" i="4"/>
  <c r="AR103" i="4" s="1"/>
  <c r="AP103" i="4"/>
  <c r="AP77" i="4"/>
  <c r="AQ77" i="4" s="1"/>
  <c r="AQ71" i="4"/>
  <c r="AP71" i="4"/>
  <c r="AE74" i="4"/>
  <c r="AD74" i="4"/>
  <c r="AP109" i="4"/>
  <c r="AQ109" i="4" s="1"/>
  <c r="AD81" i="4"/>
  <c r="AE81" i="4" s="1"/>
  <c r="AD77" i="4"/>
  <c r="AE77" i="4"/>
  <c r="AB106" i="4"/>
  <c r="AC106" i="4" s="1"/>
  <c r="BE70" i="4"/>
  <c r="BF70" i="4" s="1"/>
  <c r="BD70" i="4"/>
  <c r="AQ74" i="4"/>
  <c r="AP74" i="4"/>
  <c r="BD76" i="4"/>
  <c r="BE76" i="4"/>
  <c r="AP107" i="4"/>
  <c r="AQ107" i="4"/>
  <c r="AP110" i="4"/>
  <c r="AQ110" i="4" s="1"/>
  <c r="BE79" i="4"/>
  <c r="BD79" i="4"/>
  <c r="AD80" i="4"/>
  <c r="AE80" i="4" s="1"/>
  <c r="BD80" i="4"/>
  <c r="BE80" i="4" s="1"/>
  <c r="AP80" i="4"/>
  <c r="AQ80" i="4" s="1"/>
  <c r="AF21" i="16"/>
  <c r="AB22" i="16"/>
  <c r="C28" i="1"/>
  <c r="A29" i="1"/>
  <c r="B28" i="1"/>
  <c r="N28" i="1"/>
  <c r="O28" i="1"/>
  <c r="P28" i="1"/>
  <c r="Q28" i="1"/>
  <c r="E54" i="1"/>
  <c r="V52" i="4"/>
  <c r="V53" i="4" s="1"/>
  <c r="V54" i="4" s="1"/>
  <c r="V55" i="4" s="1"/>
  <c r="V56" i="4" s="1"/>
  <c r="W51" i="4" s="1"/>
  <c r="AB105" i="4"/>
  <c r="AC105" i="4" s="1"/>
  <c r="BD74" i="4"/>
  <c r="BE74" i="4"/>
  <c r="AQ108" i="4"/>
  <c r="AP108" i="4"/>
  <c r="AE78" i="4"/>
  <c r="AD78" i="4"/>
  <c r="BE71" i="4"/>
  <c r="BD71" i="4"/>
  <c r="AD72" i="4"/>
  <c r="AE72" i="4"/>
  <c r="AD73" i="4"/>
  <c r="AE73" i="4"/>
  <c r="BE78" i="4"/>
  <c r="BD78" i="4"/>
  <c r="AD82" i="4"/>
  <c r="AE82" i="4" s="1"/>
  <c r="AB104" i="4"/>
  <c r="AC104" i="4" s="1"/>
  <c r="AD104" i="4" s="1"/>
  <c r="BD75" i="4"/>
  <c r="BE75" i="4"/>
  <c r="H27" i="1"/>
  <c r="K27" i="1"/>
  <c r="L27" i="1"/>
  <c r="E27" i="1"/>
  <c r="D27" i="1"/>
  <c r="F27" i="1"/>
  <c r="I27" i="1"/>
  <c r="G27" i="1"/>
  <c r="J27" i="1"/>
  <c r="M27" i="1"/>
  <c r="S21" i="1" s="1"/>
  <c r="S19" i="1" s="1"/>
  <c r="R26" i="1"/>
  <c r="R23" i="1"/>
  <c r="R29" i="1"/>
  <c r="R28" i="1"/>
  <c r="R27" i="1"/>
  <c r="R24" i="1"/>
  <c r="R22" i="1"/>
  <c r="R25" i="1"/>
  <c r="AD83" i="4"/>
  <c r="AE83" i="4" s="1"/>
  <c r="AE79" i="4"/>
  <c r="AD79" i="4"/>
  <c r="AQ72" i="4"/>
  <c r="AP72" i="4"/>
  <c r="AQ73" i="4"/>
  <c r="AP73" i="4"/>
  <c r="BD77" i="4"/>
  <c r="BE77" i="4"/>
  <c r="AP104" i="4"/>
  <c r="AQ104" i="4"/>
  <c r="AE70" i="4"/>
  <c r="AF70" i="4" s="1"/>
  <c r="AD70" i="4"/>
  <c r="AQ75" i="4"/>
  <c r="AP75" i="4"/>
  <c r="AP78" i="4"/>
  <c r="AQ78" i="4" s="1"/>
  <c r="BD73" i="4"/>
  <c r="BE73" i="4"/>
  <c r="AQ105" i="4"/>
  <c r="AP105" i="4"/>
  <c r="X20" i="1"/>
  <c r="BH251" i="4" l="1"/>
  <c r="BI252" i="4"/>
  <c r="C42" i="14"/>
  <c r="A42" i="14" s="1"/>
  <c r="Q42" i="14" s="1"/>
  <c r="R42" i="14" s="1"/>
  <c r="S42" i="14" s="1"/>
  <c r="T42" i="14" s="1"/>
  <c r="C62" i="14"/>
  <c r="A62" i="14" s="1"/>
  <c r="C30" i="14"/>
  <c r="A30" i="14" s="1"/>
  <c r="C31" i="14"/>
  <c r="A31" i="14" s="1"/>
  <c r="Q31" i="14" s="1"/>
  <c r="R31" i="14" s="1"/>
  <c r="S31" i="14" s="1"/>
  <c r="T31" i="14" s="1"/>
  <c r="C64" i="14"/>
  <c r="A64" i="14" s="1"/>
  <c r="Q64" i="14" s="1"/>
  <c r="R64" i="14" s="1"/>
  <c r="S64" i="14" s="1"/>
  <c r="T64" i="14" s="1"/>
  <c r="C54" i="14"/>
  <c r="A54" i="14" s="1"/>
  <c r="C41" i="14"/>
  <c r="A41" i="14" s="1"/>
  <c r="Q41" i="14" s="1"/>
  <c r="R41" i="14" s="1"/>
  <c r="S41" i="14" s="1"/>
  <c r="T41" i="14" s="1"/>
  <c r="C56" i="14"/>
  <c r="A56" i="14" s="1"/>
  <c r="C23" i="14"/>
  <c r="A23" i="14" s="1"/>
  <c r="Q23" i="14" s="1"/>
  <c r="R23" i="14" s="1"/>
  <c r="S23" i="14" s="1"/>
  <c r="T23" i="14" s="1"/>
  <c r="Q28" i="14"/>
  <c r="R28" i="14" s="1"/>
  <c r="S28" i="14" s="1"/>
  <c r="T28" i="14" s="1"/>
  <c r="C40" i="14"/>
  <c r="A40" i="14" s="1"/>
  <c r="Q40" i="14" s="1"/>
  <c r="R40" i="14" s="1"/>
  <c r="S40" i="14" s="1"/>
  <c r="T40" i="14" s="1"/>
  <c r="C37" i="14"/>
  <c r="A37" i="14" s="1"/>
  <c r="Q37" i="14" s="1"/>
  <c r="R37" i="14" s="1"/>
  <c r="S37" i="14" s="1"/>
  <c r="T37" i="14" s="1"/>
  <c r="C33" i="14"/>
  <c r="A33" i="14" s="1"/>
  <c r="C35" i="14"/>
  <c r="A35" i="14" s="1"/>
  <c r="Q35" i="14" s="1"/>
  <c r="R35" i="14" s="1"/>
  <c r="S35" i="14" s="1"/>
  <c r="T35" i="14" s="1"/>
  <c r="C63" i="14"/>
  <c r="A63" i="14" s="1"/>
  <c r="C36" i="14"/>
  <c r="A36" i="14" s="1"/>
  <c r="Q57" i="14" s="1"/>
  <c r="R57" i="14" s="1"/>
  <c r="S57" i="14" s="1"/>
  <c r="T57" i="14" s="1"/>
  <c r="C39" i="14"/>
  <c r="A39" i="14" s="1"/>
  <c r="C60" i="14"/>
  <c r="A60" i="14" s="1"/>
  <c r="C52" i="14"/>
  <c r="A52" i="14" s="1"/>
  <c r="C26" i="14"/>
  <c r="A26" i="14" s="1"/>
  <c r="Q26" i="14" s="1"/>
  <c r="R26" i="14" s="1"/>
  <c r="S26" i="14" s="1"/>
  <c r="T26" i="14" s="1"/>
  <c r="C29" i="14"/>
  <c r="A29" i="14" s="1"/>
  <c r="Q29" i="14" s="1"/>
  <c r="R29" i="14" s="1"/>
  <c r="S29" i="14" s="1"/>
  <c r="T29" i="14" s="1"/>
  <c r="C48" i="14"/>
  <c r="A48" i="14" s="1"/>
  <c r="C44" i="14"/>
  <c r="A44" i="14" s="1"/>
  <c r="C50" i="14"/>
  <c r="A50" i="14" s="1"/>
  <c r="C47" i="14"/>
  <c r="A47" i="14" s="1"/>
  <c r="C59" i="14"/>
  <c r="A59" i="14" s="1"/>
  <c r="Q30" i="14"/>
  <c r="R30" i="14" s="1"/>
  <c r="S30" i="14" s="1"/>
  <c r="T30" i="14" s="1"/>
  <c r="C61" i="14"/>
  <c r="A61" i="14" s="1"/>
  <c r="C25" i="14"/>
  <c r="A25" i="14" s="1"/>
  <c r="Q46" i="14" s="1"/>
  <c r="R46" i="14" s="1"/>
  <c r="S46" i="14" s="1"/>
  <c r="T46" i="14" s="1"/>
  <c r="C27" i="14"/>
  <c r="A27" i="14" s="1"/>
  <c r="Q48" i="14" s="1"/>
  <c r="R48" i="14" s="1"/>
  <c r="S48" i="14" s="1"/>
  <c r="T48" i="14" s="1"/>
  <c r="C38" i="14"/>
  <c r="A38" i="14" s="1"/>
  <c r="C55" i="14"/>
  <c r="A55" i="14" s="1"/>
  <c r="B24" i="8"/>
  <c r="C53" i="14"/>
  <c r="A53" i="14" s="1"/>
  <c r="C58" i="14"/>
  <c r="A58" i="14" s="1"/>
  <c r="Q49" i="14"/>
  <c r="R49" i="14" s="1"/>
  <c r="S49" i="14" s="1"/>
  <c r="T49" i="14" s="1"/>
  <c r="C51" i="14"/>
  <c r="A51" i="14" s="1"/>
  <c r="Q43" i="14"/>
  <c r="R43" i="14" s="1"/>
  <c r="S43" i="14" s="1"/>
  <c r="T43" i="14" s="1"/>
  <c r="C34" i="14"/>
  <c r="A34" i="14" s="1"/>
  <c r="Q34" i="14" s="1"/>
  <c r="R34" i="14" s="1"/>
  <c r="S34" i="14" s="1"/>
  <c r="T34" i="14" s="1"/>
  <c r="C32" i="14"/>
  <c r="A32" i="14" s="1"/>
  <c r="Q32" i="14" s="1"/>
  <c r="R32" i="14" s="1"/>
  <c r="S32" i="14" s="1"/>
  <c r="T32" i="14" s="1"/>
  <c r="C24" i="14"/>
  <c r="A24" i="14" s="1"/>
  <c r="Q45" i="14" s="1"/>
  <c r="R45" i="14" s="1"/>
  <c r="S45" i="14" s="1"/>
  <c r="T45" i="14" s="1"/>
  <c r="BI217" i="4"/>
  <c r="BJ218" i="4"/>
  <c r="W52" i="4"/>
  <c r="W53" i="4" s="1"/>
  <c r="W54" i="4" s="1"/>
  <c r="W55" i="4" s="1"/>
  <c r="W56" i="4" s="1"/>
  <c r="X51" i="4" s="1"/>
  <c r="AF71" i="4"/>
  <c r="Y20" i="1"/>
  <c r="AB23" i="16"/>
  <c r="AF22" i="16"/>
  <c r="S29" i="1"/>
  <c r="S28" i="1"/>
  <c r="S27" i="1"/>
  <c r="S26" i="1"/>
  <c r="S22" i="1"/>
  <c r="S25" i="1"/>
  <c r="S24" i="1"/>
  <c r="S23" i="1"/>
  <c r="BF71" i="4"/>
  <c r="BF72" i="4" s="1"/>
  <c r="AR104" i="4"/>
  <c r="A30" i="1"/>
  <c r="S30" i="1" s="1"/>
  <c r="B29" i="1"/>
  <c r="C29" i="1" s="1"/>
  <c r="N29" i="1"/>
  <c r="O29" i="1"/>
  <c r="P29" i="1"/>
  <c r="Q29" i="1"/>
  <c r="AR71" i="4"/>
  <c r="BF251" i="4"/>
  <c r="BH252" i="4"/>
  <c r="BH253" i="4"/>
  <c r="AD105" i="4"/>
  <c r="J57" i="1"/>
  <c r="H102" i="1" s="1"/>
  <c r="H63" i="1" s="1"/>
  <c r="H64" i="1" s="1"/>
  <c r="H65" i="1" s="1"/>
  <c r="H66" i="1" s="1"/>
  <c r="H67" i="1" s="1"/>
  <c r="H68" i="1" s="1"/>
  <c r="H69" i="1" s="1"/>
  <c r="H70" i="1" s="1"/>
  <c r="H71" i="1" s="1"/>
  <c r="H72" i="1" s="1"/>
  <c r="H73" i="1" s="1"/>
  <c r="H74" i="1" s="1"/>
  <c r="H75" i="1" s="1"/>
  <c r="H76" i="1" s="1"/>
  <c r="H77" i="1" s="1"/>
  <c r="H78" i="1" s="1"/>
  <c r="H79" i="1" s="1"/>
  <c r="H80" i="1" s="1"/>
  <c r="H81" i="1" s="1"/>
  <c r="H82" i="1" s="1"/>
  <c r="H83" i="1" s="1"/>
  <c r="H84" i="1" s="1"/>
  <c r="H85" i="1" s="1"/>
  <c r="H86" i="1" s="1"/>
  <c r="H87" i="1" s="1"/>
  <c r="H88" i="1" s="1"/>
  <c r="H89" i="1" s="1"/>
  <c r="H90" i="1" s="1"/>
  <c r="H91" i="1" s="1"/>
  <c r="H92" i="1" s="1"/>
  <c r="H93" i="1" s="1"/>
  <c r="H94" i="1" s="1"/>
  <c r="H95" i="1" s="1"/>
  <c r="H96" i="1" s="1"/>
  <c r="H97" i="1" s="1"/>
  <c r="H98" i="1" s="1"/>
  <c r="H99" i="1" s="1"/>
  <c r="H100" i="1" s="1"/>
  <c r="H101" i="1" s="1"/>
  <c r="C62" i="1"/>
  <c r="D28" i="1"/>
  <c r="G28" i="1"/>
  <c r="J28" i="1"/>
  <c r="K28" i="1"/>
  <c r="L28" i="1"/>
  <c r="M28" i="1"/>
  <c r="T21" i="1" s="1"/>
  <c r="T19" i="1" s="1"/>
  <c r="F28" i="1"/>
  <c r="I28" i="1"/>
  <c r="E28" i="1"/>
  <c r="H28" i="1"/>
  <c r="Q62" i="14" l="1"/>
  <c r="R62" i="14" s="1"/>
  <c r="S62" i="14" s="1"/>
  <c r="T62" i="14" s="1"/>
  <c r="Q63" i="14"/>
  <c r="R63" i="14" s="1"/>
  <c r="S63" i="14" s="1"/>
  <c r="T63" i="14" s="1"/>
  <c r="Q56" i="14"/>
  <c r="R56" i="14" s="1"/>
  <c r="S56" i="14" s="1"/>
  <c r="T56" i="14" s="1"/>
  <c r="Q58" i="14"/>
  <c r="R58" i="14" s="1"/>
  <c r="S58" i="14" s="1"/>
  <c r="T58" i="14" s="1"/>
  <c r="Q51" i="14"/>
  <c r="R51" i="14" s="1"/>
  <c r="S51" i="14" s="1"/>
  <c r="T51" i="14" s="1"/>
  <c r="Q60" i="14"/>
  <c r="R60" i="14" s="1"/>
  <c r="S60" i="14" s="1"/>
  <c r="T60" i="14" s="1"/>
  <c r="Q61" i="14"/>
  <c r="R61" i="14" s="1"/>
  <c r="S61" i="14" s="1"/>
  <c r="T61" i="14" s="1"/>
  <c r="Q54" i="14"/>
  <c r="R54" i="14" s="1"/>
  <c r="S54" i="14" s="1"/>
  <c r="T54" i="14" s="1"/>
  <c r="Q39" i="14"/>
  <c r="R39" i="14" s="1"/>
  <c r="S39" i="14" s="1"/>
  <c r="T39" i="14" s="1"/>
  <c r="Q25" i="14"/>
  <c r="R25" i="14" s="1"/>
  <c r="S25" i="14" s="1"/>
  <c r="T25" i="14" s="1"/>
  <c r="Q59" i="14"/>
  <c r="R59" i="14" s="1"/>
  <c r="S59" i="14" s="1"/>
  <c r="T59" i="14" s="1"/>
  <c r="Q52" i="14"/>
  <c r="R52" i="14" s="1"/>
  <c r="S52" i="14" s="1"/>
  <c r="T52" i="14" s="1"/>
  <c r="Q33" i="14"/>
  <c r="R33" i="14" s="1"/>
  <c r="S33" i="14" s="1"/>
  <c r="T33" i="14" s="1"/>
  <c r="Q44" i="14"/>
  <c r="R44" i="14" s="1"/>
  <c r="S44" i="14" s="1"/>
  <c r="T44" i="14" s="1"/>
  <c r="Q36" i="14"/>
  <c r="R36" i="14" s="1"/>
  <c r="S36" i="14" s="1"/>
  <c r="T36" i="14" s="1"/>
  <c r="Q47" i="14"/>
  <c r="R47" i="14" s="1"/>
  <c r="S47" i="14" s="1"/>
  <c r="T47" i="14" s="1"/>
  <c r="Q55" i="14"/>
  <c r="R55" i="14" s="1"/>
  <c r="S55" i="14" s="1"/>
  <c r="T55" i="14" s="1"/>
  <c r="Q50" i="14"/>
  <c r="R50" i="14" s="1"/>
  <c r="S50" i="14" s="1"/>
  <c r="T50" i="14" s="1"/>
  <c r="G120" i="4"/>
  <c r="Q27" i="14"/>
  <c r="R27" i="14" s="1"/>
  <c r="S27" i="14" s="1"/>
  <c r="T27" i="14" s="1"/>
  <c r="Q38" i="14"/>
  <c r="R38" i="14" s="1"/>
  <c r="S38" i="14" s="1"/>
  <c r="T38" i="14" s="1"/>
  <c r="Q53" i="14"/>
  <c r="R53" i="14" s="1"/>
  <c r="S53" i="14" s="1"/>
  <c r="T53" i="14" s="1"/>
  <c r="D120" i="4"/>
  <c r="Q24" i="14"/>
  <c r="R24" i="14" s="1"/>
  <c r="S24" i="14" s="1"/>
  <c r="T24" i="14" s="1"/>
  <c r="D131" i="4"/>
  <c r="BF73" i="4"/>
  <c r="BF74" i="4" s="1"/>
  <c r="BF75" i="4" s="1"/>
  <c r="BH217" i="4"/>
  <c r="BI218" i="4"/>
  <c r="X52" i="4"/>
  <c r="X53" i="4" s="1"/>
  <c r="X54" i="4" s="1"/>
  <c r="X55" i="4" s="1"/>
  <c r="X56" i="4" s="1"/>
  <c r="Y51" i="4" s="1"/>
  <c r="D29" i="1"/>
  <c r="G29" i="1"/>
  <c r="J29" i="1"/>
  <c r="H29" i="1"/>
  <c r="F29" i="1"/>
  <c r="K29" i="1"/>
  <c r="L29" i="1"/>
  <c r="M29" i="1"/>
  <c r="U21" i="1" s="1"/>
  <c r="U19" i="1" s="1"/>
  <c r="I29" i="1"/>
  <c r="E29" i="1"/>
  <c r="BF252" i="4"/>
  <c r="BE251" i="4"/>
  <c r="BF253" i="4"/>
  <c r="AF72" i="4"/>
  <c r="AF23" i="16"/>
  <c r="AB24" i="16"/>
  <c r="T27" i="1"/>
  <c r="T23" i="1"/>
  <c r="T26" i="1"/>
  <c r="T22" i="1"/>
  <c r="T29" i="1"/>
  <c r="T25" i="1"/>
  <c r="T31" i="1"/>
  <c r="T28" i="1"/>
  <c r="T30" i="1"/>
  <c r="T24" i="1"/>
  <c r="AD106" i="4"/>
  <c r="W108" i="4" s="1"/>
  <c r="Z20" i="1"/>
  <c r="AR72" i="4"/>
  <c r="AR73" i="4" s="1"/>
  <c r="A31" i="1"/>
  <c r="B30" i="1"/>
  <c r="C30" i="1" s="1"/>
  <c r="N30" i="1"/>
  <c r="O30" i="1"/>
  <c r="P30" i="1"/>
  <c r="Q30" i="1"/>
  <c r="R30" i="1"/>
  <c r="AR105" i="4"/>
  <c r="AR106" i="4" s="1"/>
  <c r="C9" i="15" l="1"/>
  <c r="AF30" i="15" s="1"/>
  <c r="B11" i="6"/>
  <c r="C12" i="15"/>
  <c r="J11" i="6"/>
  <c r="G131" i="4"/>
  <c r="B16" i="6"/>
  <c r="BH218" i="4"/>
  <c r="BF217" i="4"/>
  <c r="W111" i="4"/>
  <c r="X111" i="4" s="1"/>
  <c r="W109" i="4"/>
  <c r="W112" i="4"/>
  <c r="X112" i="4" s="1"/>
  <c r="W110" i="4"/>
  <c r="X110" i="4" s="1"/>
  <c r="K30" i="1"/>
  <c r="M30" i="1"/>
  <c r="V21" i="1" s="1"/>
  <c r="V19" i="1" s="1"/>
  <c r="F30" i="1"/>
  <c r="H30" i="1"/>
  <c r="I30" i="1"/>
  <c r="L30" i="1"/>
  <c r="G30" i="1"/>
  <c r="E30" i="1"/>
  <c r="J30" i="1"/>
  <c r="D30" i="1"/>
  <c r="AF73" i="4"/>
  <c r="AF74" i="4" s="1"/>
  <c r="BF76" i="4"/>
  <c r="Y52" i="4"/>
  <c r="Y53" i="4" s="1"/>
  <c r="Y54" i="4" s="1"/>
  <c r="Y55" i="4" s="1"/>
  <c r="Y56" i="4" s="1"/>
  <c r="Z51" i="4" s="1"/>
  <c r="AR74" i="4"/>
  <c r="AR75" i="4" s="1"/>
  <c r="BD251" i="4"/>
  <c r="BE253" i="4"/>
  <c r="BE252" i="4"/>
  <c r="AR107" i="4"/>
  <c r="AR108" i="4" s="1"/>
  <c r="AR109" i="4" s="1"/>
  <c r="B31" i="1"/>
  <c r="C31" i="1" s="1"/>
  <c r="A32" i="1"/>
  <c r="N31" i="1"/>
  <c r="O31" i="1"/>
  <c r="P31" i="1"/>
  <c r="Q31" i="1"/>
  <c r="R31" i="1"/>
  <c r="S31" i="1"/>
  <c r="AA20" i="1"/>
  <c r="AB25" i="16"/>
  <c r="AF24" i="16"/>
  <c r="U29" i="1"/>
  <c r="U30" i="1"/>
  <c r="U25" i="1"/>
  <c r="U32" i="1"/>
  <c r="U31" i="1"/>
  <c r="U28" i="1"/>
  <c r="U22" i="1"/>
  <c r="U26" i="1"/>
  <c r="U27" i="1"/>
  <c r="U23" i="1"/>
  <c r="U24" i="1"/>
  <c r="AF19" i="15" l="1"/>
  <c r="AF25" i="15"/>
  <c r="AF31" i="15"/>
  <c r="AF23" i="15"/>
  <c r="AF18" i="15"/>
  <c r="AF32" i="15"/>
  <c r="AF26" i="15"/>
  <c r="AF17" i="15"/>
  <c r="AF34" i="15"/>
  <c r="AF28" i="15"/>
  <c r="AF35" i="15"/>
  <c r="AF21" i="15"/>
  <c r="AF20" i="15"/>
  <c r="AF27" i="15"/>
  <c r="AF22" i="15"/>
  <c r="AF15" i="15"/>
  <c r="AF33" i="15"/>
  <c r="AF24" i="15"/>
  <c r="AF29" i="15"/>
  <c r="AF16" i="15"/>
  <c r="J16" i="6"/>
  <c r="D13" i="8" s="1"/>
  <c r="C16" i="6"/>
  <c r="K16" i="6"/>
  <c r="CM260" i="4"/>
  <c r="K11" i="6"/>
  <c r="D12" i="8"/>
  <c r="C11" i="6"/>
  <c r="X109" i="4"/>
  <c r="BF218" i="4"/>
  <c r="BE217" i="4"/>
  <c r="AF75" i="4"/>
  <c r="AF76" i="4" s="1"/>
  <c r="J31" i="1"/>
  <c r="M31" i="1"/>
  <c r="W21" i="1" s="1"/>
  <c r="W19" i="1" s="1"/>
  <c r="I31" i="1"/>
  <c r="F31" i="1"/>
  <c r="G31" i="1"/>
  <c r="K31" i="1"/>
  <c r="L31" i="1"/>
  <c r="D31" i="1"/>
  <c r="H31" i="1"/>
  <c r="E31" i="1"/>
  <c r="AR110" i="4"/>
  <c r="AK119" i="4" s="1"/>
  <c r="AB20" i="1"/>
  <c r="BF77" i="4"/>
  <c r="V32" i="1"/>
  <c r="V29" i="1"/>
  <c r="V30" i="1"/>
  <c r="V28" i="1"/>
  <c r="V22" i="1"/>
  <c r="V25" i="1"/>
  <c r="V24" i="1"/>
  <c r="V23" i="1"/>
  <c r="V31" i="1"/>
  <c r="V27" i="1"/>
  <c r="V26" i="1"/>
  <c r="Z52" i="4"/>
  <c r="Z53" i="4" s="1"/>
  <c r="Z54" i="4" s="1"/>
  <c r="Z55" i="4" s="1"/>
  <c r="Z56" i="4" s="1"/>
  <c r="AA51" i="4" s="1"/>
  <c r="AB26" i="16"/>
  <c r="AF25" i="16"/>
  <c r="C32" i="1"/>
  <c r="A33" i="1"/>
  <c r="B32" i="1"/>
  <c r="N32" i="1"/>
  <c r="O32" i="1"/>
  <c r="P32" i="1"/>
  <c r="Q32" i="1"/>
  <c r="R32" i="1"/>
  <c r="S32" i="1"/>
  <c r="T32" i="1"/>
  <c r="BD252" i="4"/>
  <c r="BC251" i="4"/>
  <c r="BD253" i="4"/>
  <c r="AR76" i="4"/>
  <c r="E12" i="8" l="1"/>
  <c r="AF36" i="15"/>
  <c r="M9" i="15" s="1"/>
  <c r="G29" i="15" s="1"/>
  <c r="P12" i="8"/>
  <c r="F12" i="8" s="1"/>
  <c r="B12" i="8"/>
  <c r="C12" i="8"/>
  <c r="P13" i="8"/>
  <c r="C13" i="8"/>
  <c r="F13" i="8"/>
  <c r="E13" i="8"/>
  <c r="B13" i="8"/>
  <c r="BE218" i="4"/>
  <c r="BD217" i="4"/>
  <c r="AK122" i="4"/>
  <c r="AL122" i="4" s="1"/>
  <c r="AK123" i="4"/>
  <c r="AL123" i="4" s="1"/>
  <c r="AK120" i="4"/>
  <c r="AK121" i="4"/>
  <c r="AL121" i="4" s="1"/>
  <c r="A34" i="1"/>
  <c r="B33" i="1"/>
  <c r="C33" i="1" s="1"/>
  <c r="N33" i="1"/>
  <c r="O33" i="1"/>
  <c r="P33" i="1"/>
  <c r="Q33" i="1"/>
  <c r="R33" i="1"/>
  <c r="S33" i="1"/>
  <c r="T33" i="1"/>
  <c r="U33" i="1"/>
  <c r="AA52" i="4"/>
  <c r="AA53" i="4" s="1"/>
  <c r="AA54" i="4" s="1"/>
  <c r="AA55" i="4" s="1"/>
  <c r="AA56" i="4" s="1"/>
  <c r="AB51" i="4" s="1"/>
  <c r="W34" i="1"/>
  <c r="W24" i="1"/>
  <c r="W33" i="1"/>
  <c r="W25" i="1"/>
  <c r="W26" i="1"/>
  <c r="W31" i="1"/>
  <c r="W27" i="1"/>
  <c r="W29" i="1"/>
  <c r="W28" i="1"/>
  <c r="W23" i="1"/>
  <c r="W32" i="1"/>
  <c r="W30" i="1"/>
  <c r="W22" i="1"/>
  <c r="L32" i="1"/>
  <c r="I32" i="1"/>
  <c r="J32" i="1"/>
  <c r="M32" i="1"/>
  <c r="X21" i="1" s="1"/>
  <c r="X19" i="1" s="1"/>
  <c r="G32" i="1"/>
  <c r="F32" i="1"/>
  <c r="H32" i="1"/>
  <c r="K32" i="1"/>
  <c r="D32" i="1"/>
  <c r="E32" i="1"/>
  <c r="AR77" i="4"/>
  <c r="BB251" i="4"/>
  <c r="BC253" i="4"/>
  <c r="BC252" i="4"/>
  <c r="V33" i="1"/>
  <c r="BF78" i="4"/>
  <c r="BF79" i="4" s="1"/>
  <c r="AB27" i="16"/>
  <c r="AF26" i="16"/>
  <c r="AC20" i="1"/>
  <c r="AF77" i="4"/>
  <c r="D126" i="4" l="1"/>
  <c r="M12" i="15"/>
  <c r="G28" i="15" s="1"/>
  <c r="M18" i="15" s="1"/>
  <c r="BD218" i="4"/>
  <c r="BC217" i="4"/>
  <c r="AL120" i="4"/>
  <c r="J33" i="1"/>
  <c r="F33" i="1"/>
  <c r="G33" i="1"/>
  <c r="D33" i="1"/>
  <c r="I33" i="1"/>
  <c r="H33" i="1"/>
  <c r="E33" i="1"/>
  <c r="L33" i="1"/>
  <c r="K33" i="1"/>
  <c r="M33" i="1"/>
  <c r="Y21" i="1" s="1"/>
  <c r="Y19" i="1" s="1"/>
  <c r="AF27" i="16"/>
  <c r="AB28" i="16"/>
  <c r="AF78" i="4"/>
  <c r="AB52" i="4"/>
  <c r="AB53" i="4" s="1"/>
  <c r="AB54" i="4" s="1"/>
  <c r="AB55" i="4" s="1"/>
  <c r="AB56" i="4" s="1"/>
  <c r="AC51" i="4" s="1"/>
  <c r="AR78" i="4"/>
  <c r="AR79" i="4" s="1"/>
  <c r="AR80" i="4" s="1"/>
  <c r="AK84" i="4" s="1"/>
  <c r="AD20" i="1"/>
  <c r="BF80" i="4"/>
  <c r="BF81" i="4" s="1"/>
  <c r="AW85" i="4" s="1"/>
  <c r="BA251" i="4"/>
  <c r="BB252" i="4"/>
  <c r="BB253" i="4"/>
  <c r="X24" i="1"/>
  <c r="X32" i="1"/>
  <c r="X30" i="1"/>
  <c r="X28" i="1"/>
  <c r="X23" i="1"/>
  <c r="X25" i="1"/>
  <c r="X27" i="1"/>
  <c r="X34" i="1"/>
  <c r="X33" i="1"/>
  <c r="X35" i="1"/>
  <c r="X22" i="1"/>
  <c r="X31" i="1"/>
  <c r="X29" i="1"/>
  <c r="X26" i="1"/>
  <c r="A35" i="1"/>
  <c r="B34" i="1"/>
  <c r="C34" i="1" s="1"/>
  <c r="N34" i="1"/>
  <c r="O34" i="1"/>
  <c r="P34" i="1"/>
  <c r="Q34" i="1"/>
  <c r="R34" i="1"/>
  <c r="S34" i="1"/>
  <c r="T34" i="1"/>
  <c r="U34" i="1"/>
  <c r="V34" i="1"/>
  <c r="G126" i="4" l="1"/>
  <c r="D28" i="15"/>
  <c r="M20" i="15"/>
  <c r="D123" i="4"/>
  <c r="BB217" i="4"/>
  <c r="BC218" i="4"/>
  <c r="AK86" i="4"/>
  <c r="AL86" i="4" s="1"/>
  <c r="AK85" i="4"/>
  <c r="AK88" i="4"/>
  <c r="AL88" i="4" s="1"/>
  <c r="AK87" i="4"/>
  <c r="AL87" i="4" s="1"/>
  <c r="E34" i="1"/>
  <c r="H34" i="1"/>
  <c r="I34" i="1"/>
  <c r="L34" i="1"/>
  <c r="K34" i="1"/>
  <c r="D34" i="1"/>
  <c r="G34" i="1"/>
  <c r="M34" i="1"/>
  <c r="Z21" i="1" s="1"/>
  <c r="Z19" i="1" s="1"/>
  <c r="J34" i="1"/>
  <c r="F34" i="1"/>
  <c r="AC52" i="4"/>
  <c r="AC53" i="4" s="1"/>
  <c r="AC54" i="4" s="1"/>
  <c r="AC55" i="4" s="1"/>
  <c r="AC56" i="4" s="1"/>
  <c r="AD51" i="4" s="1"/>
  <c r="AE20" i="1"/>
  <c r="AB29" i="16"/>
  <c r="AF28" i="16"/>
  <c r="AZ251" i="4"/>
  <c r="BA252" i="4"/>
  <c r="BA253" i="4"/>
  <c r="AW90" i="4"/>
  <c r="AW86" i="4"/>
  <c r="AW89" i="4"/>
  <c r="AW94" i="4" s="1"/>
  <c r="AX94" i="4" s="1"/>
  <c r="AW88" i="4"/>
  <c r="AX88" i="4" s="1"/>
  <c r="AW87" i="4"/>
  <c r="AX87" i="4" s="1"/>
  <c r="AW91" i="4"/>
  <c r="AX91" i="4" s="1"/>
  <c r="AF79" i="4"/>
  <c r="AF80" i="4" s="1"/>
  <c r="Y28" i="1"/>
  <c r="Y22" i="1"/>
  <c r="Y30" i="1"/>
  <c r="Y33" i="1"/>
  <c r="Y23" i="1"/>
  <c r="Y34" i="1"/>
  <c r="Y35" i="1"/>
  <c r="Y29" i="1"/>
  <c r="Y24" i="1"/>
  <c r="Y26" i="1"/>
  <c r="Y27" i="1"/>
  <c r="Y31" i="1"/>
  <c r="Y32" i="1"/>
  <c r="Y25" i="1"/>
  <c r="C35" i="1"/>
  <c r="B35" i="1"/>
  <c r="A36" i="1"/>
  <c r="Y36" i="1" s="1"/>
  <c r="N35" i="1"/>
  <c r="O35" i="1"/>
  <c r="P35" i="1"/>
  <c r="Q35" i="1"/>
  <c r="R35" i="1"/>
  <c r="S35" i="1"/>
  <c r="T35" i="1"/>
  <c r="U35" i="1"/>
  <c r="V35" i="1"/>
  <c r="W35" i="1"/>
  <c r="BA217" i="4" l="1"/>
  <c r="BB218" i="4"/>
  <c r="AF81" i="4"/>
  <c r="AF82" i="4" s="1"/>
  <c r="AF83" i="4" s="1"/>
  <c r="W85" i="4" s="1"/>
  <c r="W91" i="4" s="1"/>
  <c r="X91" i="4" s="1"/>
  <c r="AL85" i="4"/>
  <c r="AD52" i="4"/>
  <c r="AD53" i="4" s="1"/>
  <c r="AD54" i="4" s="1"/>
  <c r="AD55" i="4" s="1"/>
  <c r="AD56" i="4" s="1"/>
  <c r="AE51" i="4"/>
  <c r="D35" i="1"/>
  <c r="J35" i="1"/>
  <c r="F35" i="1"/>
  <c r="K35" i="1"/>
  <c r="M35" i="1"/>
  <c r="AA21" i="1" s="1"/>
  <c r="AA19" i="1" s="1"/>
  <c r="L35" i="1"/>
  <c r="G35" i="1"/>
  <c r="E35" i="1"/>
  <c r="I35" i="1"/>
  <c r="H35" i="1"/>
  <c r="AZ252" i="4"/>
  <c r="AZ253" i="4"/>
  <c r="AY251" i="4"/>
  <c r="AB30" i="16"/>
  <c r="AF29" i="16"/>
  <c r="AF20" i="1"/>
  <c r="C36" i="1"/>
  <c r="A37" i="1"/>
  <c r="B36" i="1"/>
  <c r="N36" i="1"/>
  <c r="O36" i="1"/>
  <c r="P36" i="1"/>
  <c r="Q36" i="1"/>
  <c r="R36" i="1"/>
  <c r="S36" i="1"/>
  <c r="T36" i="1"/>
  <c r="U36" i="1"/>
  <c r="V36" i="1"/>
  <c r="W36" i="1"/>
  <c r="X36" i="1"/>
  <c r="AW95" i="4"/>
  <c r="AX95" i="4" s="1"/>
  <c r="Z23" i="1"/>
  <c r="Z37" i="1"/>
  <c r="Z22" i="1"/>
  <c r="Z36" i="1"/>
  <c r="Z28" i="1"/>
  <c r="Z25" i="1"/>
  <c r="Z32" i="1"/>
  <c r="Z35" i="1"/>
  <c r="Z31" i="1"/>
  <c r="Z33" i="1"/>
  <c r="Z27" i="1"/>
  <c r="Z30" i="1"/>
  <c r="Z34" i="1"/>
  <c r="Z24" i="1"/>
  <c r="Z29" i="1"/>
  <c r="Z26" i="1"/>
  <c r="W89" i="4" l="1"/>
  <c r="W94" i="4" s="1"/>
  <c r="X94" i="4" s="1"/>
  <c r="AZ217" i="4"/>
  <c r="BA218" i="4"/>
  <c r="W86" i="4"/>
  <c r="W90" i="4"/>
  <c r="W88" i="4"/>
  <c r="X88" i="4" s="1"/>
  <c r="W87" i="4"/>
  <c r="X87" i="4" s="1"/>
  <c r="M36" i="1"/>
  <c r="AB21" i="1" s="1"/>
  <c r="AB19" i="1" s="1"/>
  <c r="G36" i="1"/>
  <c r="L36" i="1"/>
  <c r="K36" i="1"/>
  <c r="H36" i="1"/>
  <c r="J36" i="1"/>
  <c r="F36" i="1"/>
  <c r="D36" i="1"/>
  <c r="I36" i="1"/>
  <c r="E36" i="1"/>
  <c r="AB31" i="16"/>
  <c r="AF30" i="16"/>
  <c r="AE52" i="4"/>
  <c r="AE53" i="4" s="1"/>
  <c r="AE54" i="4" s="1"/>
  <c r="AE55" i="4" s="1"/>
  <c r="AE56" i="4" s="1"/>
  <c r="AF51" i="4" s="1"/>
  <c r="AG20" i="1"/>
  <c r="C37" i="1"/>
  <c r="B37" i="1"/>
  <c r="A38" i="1"/>
  <c r="AA38" i="1" s="1"/>
  <c r="N37" i="1"/>
  <c r="O37" i="1"/>
  <c r="P37" i="1"/>
  <c r="Q37" i="1"/>
  <c r="R37" i="1"/>
  <c r="S37" i="1"/>
  <c r="T37" i="1"/>
  <c r="U37" i="1"/>
  <c r="V37" i="1"/>
  <c r="W37" i="1"/>
  <c r="X37" i="1"/>
  <c r="Y37" i="1"/>
  <c r="AA32" i="1"/>
  <c r="AA34" i="1"/>
  <c r="AA37" i="1"/>
  <c r="AA23" i="1"/>
  <c r="AA24" i="1"/>
  <c r="AA27" i="1"/>
  <c r="AA35" i="1"/>
  <c r="AA26" i="1"/>
  <c r="AA22" i="1"/>
  <c r="AA33" i="1"/>
  <c r="AA25" i="1"/>
  <c r="AA28" i="1"/>
  <c r="AA31" i="1"/>
  <c r="AA36" i="1"/>
  <c r="AA29" i="1"/>
  <c r="AA30" i="1"/>
  <c r="AY252" i="4"/>
  <c r="AY253" i="4"/>
  <c r="AX251" i="4"/>
  <c r="W95" i="4" l="1"/>
  <c r="X95" i="4" s="1"/>
  <c r="AB127" i="4" s="1"/>
  <c r="V137" i="4" s="1"/>
  <c r="AZ218" i="4"/>
  <c r="AY217" i="4"/>
  <c r="AF52" i="4"/>
  <c r="AF53" i="4" s="1"/>
  <c r="AF54" i="4" s="1"/>
  <c r="AF55" i="4" s="1"/>
  <c r="AF56" i="4" s="1"/>
  <c r="AG51" i="4" s="1"/>
  <c r="AW251" i="4"/>
  <c r="AX252" i="4"/>
  <c r="AX253" i="4"/>
  <c r="K37" i="1"/>
  <c r="J37" i="1"/>
  <c r="L37" i="1"/>
  <c r="G37" i="1"/>
  <c r="D37" i="1"/>
  <c r="E37" i="1"/>
  <c r="I37" i="1"/>
  <c r="H37" i="1"/>
  <c r="M37" i="1"/>
  <c r="AC21" i="1" s="1"/>
  <c r="AC19" i="1" s="1"/>
  <c r="F37" i="1"/>
  <c r="AB32" i="16"/>
  <c r="AF31" i="16"/>
  <c r="A39" i="1"/>
  <c r="B38" i="1"/>
  <c r="C38" i="1"/>
  <c r="N38" i="1"/>
  <c r="O38" i="1"/>
  <c r="P38" i="1"/>
  <c r="Q38" i="1"/>
  <c r="R38" i="1"/>
  <c r="S38" i="1"/>
  <c r="T38" i="1"/>
  <c r="U38" i="1"/>
  <c r="V38" i="1"/>
  <c r="W38" i="1"/>
  <c r="X38" i="1"/>
  <c r="Y38" i="1"/>
  <c r="Z38" i="1"/>
  <c r="AH20" i="1"/>
  <c r="AB30" i="1"/>
  <c r="AB24" i="1"/>
  <c r="AB22" i="1"/>
  <c r="AB36" i="1"/>
  <c r="AB35" i="1"/>
  <c r="AB34" i="1"/>
  <c r="AB39" i="1"/>
  <c r="AB38" i="1"/>
  <c r="AB28" i="1"/>
  <c r="AB37" i="1"/>
  <c r="AB26" i="1"/>
  <c r="AB25" i="1"/>
  <c r="AB23" i="1"/>
  <c r="AB33" i="1"/>
  <c r="AB27" i="1"/>
  <c r="AB31" i="1"/>
  <c r="AB29" i="1"/>
  <c r="AB32" i="1"/>
  <c r="AX217" i="4" l="1"/>
  <c r="AY218" i="4"/>
  <c r="Y133" i="4"/>
  <c r="Y137" i="4"/>
  <c r="AB137" i="4" s="1"/>
  <c r="V136" i="4"/>
  <c r="W131" i="4"/>
  <c r="Y131" i="4"/>
  <c r="Y136" i="4"/>
  <c r="Y138" i="4"/>
  <c r="X137" i="4"/>
  <c r="X136" i="4"/>
  <c r="W138" i="4"/>
  <c r="X133" i="4"/>
  <c r="W134" i="4"/>
  <c r="V131" i="4"/>
  <c r="AB131" i="4" s="1"/>
  <c r="W136" i="4"/>
  <c r="X131" i="4"/>
  <c r="V133" i="4"/>
  <c r="AA146" i="4" s="1"/>
  <c r="AC146" i="4" s="1"/>
  <c r="V138" i="4"/>
  <c r="AA138" i="4" s="1"/>
  <c r="Y135" i="4"/>
  <c r="W133" i="4"/>
  <c r="W137" i="4"/>
  <c r="Y134" i="4"/>
  <c r="W135" i="4"/>
  <c r="V135" i="4"/>
  <c r="AA148" i="4" s="1"/>
  <c r="X134" i="4"/>
  <c r="X135" i="4"/>
  <c r="V134" i="4"/>
  <c r="X138" i="4"/>
  <c r="AG52" i="4"/>
  <c r="AG53" i="4" s="1"/>
  <c r="AG54" i="4" s="1"/>
  <c r="AG55" i="4" s="1"/>
  <c r="AG56" i="4" s="1"/>
  <c r="AH51" i="4" s="1"/>
  <c r="AB33" i="16"/>
  <c r="AF32" i="16"/>
  <c r="AI20" i="1"/>
  <c r="L38" i="1"/>
  <c r="M38" i="1"/>
  <c r="AD21" i="1" s="1"/>
  <c r="AD19" i="1" s="1"/>
  <c r="G38" i="1"/>
  <c r="K38" i="1"/>
  <c r="F38" i="1"/>
  <c r="H38" i="1"/>
  <c r="J38" i="1"/>
  <c r="E38" i="1"/>
  <c r="I38" i="1"/>
  <c r="D38" i="1"/>
  <c r="A40" i="1"/>
  <c r="B39" i="1"/>
  <c r="C39" i="1" s="1"/>
  <c r="N39" i="1"/>
  <c r="O39" i="1"/>
  <c r="P39" i="1"/>
  <c r="Q39" i="1"/>
  <c r="R39" i="1"/>
  <c r="S39" i="1"/>
  <c r="T39" i="1"/>
  <c r="U39" i="1"/>
  <c r="V39" i="1"/>
  <c r="W39" i="1"/>
  <c r="X39" i="1"/>
  <c r="Y39" i="1"/>
  <c r="Z39" i="1"/>
  <c r="AA39" i="1"/>
  <c r="AW253" i="4"/>
  <c r="AV251" i="4"/>
  <c r="AW252" i="4"/>
  <c r="Z137" i="4"/>
  <c r="AA137" i="4"/>
  <c r="AA150" i="4"/>
  <c r="AC150" i="4" s="1"/>
  <c r="AC31" i="1"/>
  <c r="AC32" i="1"/>
  <c r="AC36" i="1"/>
  <c r="AC29" i="1"/>
  <c r="AC28" i="1"/>
  <c r="AC26" i="1"/>
  <c r="AC33" i="1"/>
  <c r="AC24" i="1"/>
  <c r="AC27" i="1"/>
  <c r="AC23" i="1"/>
  <c r="AC35" i="1"/>
  <c r="AC25" i="1"/>
  <c r="AC30" i="1"/>
  <c r="AC22" i="1"/>
  <c r="AC40" i="1"/>
  <c r="AC38" i="1"/>
  <c r="AC34" i="1"/>
  <c r="AC39" i="1"/>
  <c r="AC37" i="1"/>
  <c r="Z136" i="4" l="1"/>
  <c r="AB134" i="4"/>
  <c r="AA136" i="4"/>
  <c r="AA135" i="4"/>
  <c r="AB133" i="4"/>
  <c r="AA133" i="4"/>
  <c r="AA131" i="4"/>
  <c r="Z138" i="4"/>
  <c r="AA145" i="4"/>
  <c r="AC145" i="4" s="1"/>
  <c r="AA151" i="4"/>
  <c r="AC151" i="4" s="1"/>
  <c r="Z133" i="4"/>
  <c r="Z134" i="4"/>
  <c r="Z131" i="4"/>
  <c r="AA147" i="4"/>
  <c r="AC147" i="4" s="1"/>
  <c r="AB138" i="4"/>
  <c r="AA134" i="4"/>
  <c r="AC148" i="4"/>
  <c r="AX218" i="4"/>
  <c r="AW217" i="4"/>
  <c r="AA149" i="4"/>
  <c r="AC149" i="4" s="1"/>
  <c r="AB136" i="4"/>
  <c r="AB135" i="4"/>
  <c r="Z135" i="4"/>
  <c r="AH52" i="4"/>
  <c r="AH53" i="4" s="1"/>
  <c r="AH54" i="4" s="1"/>
  <c r="AH55" i="4" s="1"/>
  <c r="AH56" i="4" s="1"/>
  <c r="AI51" i="4" s="1"/>
  <c r="I39" i="1"/>
  <c r="G39" i="1"/>
  <c r="L39" i="1"/>
  <c r="J39" i="1"/>
  <c r="D39" i="1"/>
  <c r="E39" i="1"/>
  <c r="F39" i="1"/>
  <c r="M39" i="1"/>
  <c r="AE21" i="1" s="1"/>
  <c r="AE19" i="1" s="1"/>
  <c r="K39" i="1"/>
  <c r="H39" i="1"/>
  <c r="B40" i="1"/>
  <c r="A41" i="1"/>
  <c r="C40" i="1"/>
  <c r="N40" i="1"/>
  <c r="O40" i="1"/>
  <c r="P40" i="1"/>
  <c r="Q40" i="1"/>
  <c r="R40" i="1"/>
  <c r="S40" i="1"/>
  <c r="T40" i="1"/>
  <c r="U40" i="1"/>
  <c r="V40" i="1"/>
  <c r="W40" i="1"/>
  <c r="X40" i="1"/>
  <c r="Y40" i="1"/>
  <c r="Z40" i="1"/>
  <c r="AA40" i="1"/>
  <c r="AB40" i="1"/>
  <c r="AD29" i="1"/>
  <c r="AD30" i="1"/>
  <c r="AD34" i="1"/>
  <c r="AD31" i="1"/>
  <c r="AD24" i="1"/>
  <c r="AD27" i="1"/>
  <c r="AD23" i="1"/>
  <c r="AD35" i="1"/>
  <c r="AD26" i="1"/>
  <c r="AD38" i="1"/>
  <c r="AD22" i="1"/>
  <c r="AD37" i="1"/>
  <c r="AD36" i="1"/>
  <c r="AD25" i="1"/>
  <c r="AD28" i="1"/>
  <c r="AD40" i="1"/>
  <c r="AD32" i="1"/>
  <c r="AD33" i="1"/>
  <c r="AD41" i="1"/>
  <c r="AD39" i="1"/>
  <c r="AV253" i="4"/>
  <c r="AV252" i="4"/>
  <c r="AU251" i="4"/>
  <c r="AB34" i="16"/>
  <c r="AF33" i="16"/>
  <c r="AJ20" i="1"/>
  <c r="Z139" i="4" l="1"/>
  <c r="J7" i="6" s="1"/>
  <c r="K7" i="6" s="1"/>
  <c r="AA139" i="4"/>
  <c r="AW218" i="4"/>
  <c r="AV217" i="4"/>
  <c r="AB139" i="4"/>
  <c r="X144" i="4" s="1"/>
  <c r="C11" i="8"/>
  <c r="AI52" i="4"/>
  <c r="AI53" i="4" s="1"/>
  <c r="AI54" i="4" s="1"/>
  <c r="AI55" i="4" s="1"/>
  <c r="AI56" i="4" s="1"/>
  <c r="AJ51" i="4" s="1"/>
  <c r="C41" i="1"/>
  <c r="B41" i="1"/>
  <c r="A42" i="1"/>
  <c r="N41" i="1"/>
  <c r="O41" i="1"/>
  <c r="P41" i="1"/>
  <c r="Q41" i="1"/>
  <c r="R41" i="1"/>
  <c r="S41" i="1"/>
  <c r="T41" i="1"/>
  <c r="U41" i="1"/>
  <c r="V41" i="1"/>
  <c r="W41" i="1"/>
  <c r="X41" i="1"/>
  <c r="Y41" i="1"/>
  <c r="Z41" i="1"/>
  <c r="AA41" i="1"/>
  <c r="AB41" i="1"/>
  <c r="AC41" i="1"/>
  <c r="AB35" i="16"/>
  <c r="AF35" i="16" s="1"/>
  <c r="AF34" i="16"/>
  <c r="AK20" i="1"/>
  <c r="AT251" i="4"/>
  <c r="AU252" i="4"/>
  <c r="AU253" i="4"/>
  <c r="AE34" i="1"/>
  <c r="AE22" i="1"/>
  <c r="AE26" i="1"/>
  <c r="AE28" i="1"/>
  <c r="AE41" i="1"/>
  <c r="AE38" i="1"/>
  <c r="AE42" i="1"/>
  <c r="AE27" i="1"/>
  <c r="AE23" i="1"/>
  <c r="AE25" i="1"/>
  <c r="AE29" i="1"/>
  <c r="AE37" i="1"/>
  <c r="AE40" i="1"/>
  <c r="AE36" i="1"/>
  <c r="AE24" i="1"/>
  <c r="AE35" i="1"/>
  <c r="AE30" i="1"/>
  <c r="AE33" i="1"/>
  <c r="AE39" i="1"/>
  <c r="AE32" i="1"/>
  <c r="AE31" i="1"/>
  <c r="K40" i="1"/>
  <c r="G40" i="1"/>
  <c r="F40" i="1"/>
  <c r="H40" i="1"/>
  <c r="I40" i="1"/>
  <c r="M40" i="1"/>
  <c r="AF21" i="1" s="1"/>
  <c r="AF19" i="1" s="1"/>
  <c r="D40" i="1"/>
  <c r="J40" i="1"/>
  <c r="E40" i="1"/>
  <c r="L40" i="1"/>
  <c r="X145" i="4" l="1"/>
  <c r="X146" i="4"/>
  <c r="AU217" i="4"/>
  <c r="AV218" i="4"/>
  <c r="F11" i="8"/>
  <c r="P11" i="8"/>
  <c r="AJ52" i="4"/>
  <c r="AJ53" i="4" s="1"/>
  <c r="AJ54" i="4" s="1"/>
  <c r="AJ55" i="4" s="1"/>
  <c r="AJ56" i="4" s="1"/>
  <c r="AK51" i="4" s="1"/>
  <c r="AT253" i="4"/>
  <c r="AS251" i="4"/>
  <c r="AT252" i="4"/>
  <c r="AF36" i="16"/>
  <c r="F41" i="1"/>
  <c r="K41" i="1"/>
  <c r="I41" i="1"/>
  <c r="M41" i="1"/>
  <c r="AG21" i="1" s="1"/>
  <c r="AG19" i="1" s="1"/>
  <c r="J41" i="1"/>
  <c r="E41" i="1"/>
  <c r="G41" i="1"/>
  <c r="L41" i="1"/>
  <c r="H41" i="1"/>
  <c r="D41" i="1"/>
  <c r="AL20" i="1"/>
  <c r="AF33" i="1"/>
  <c r="AF22" i="1"/>
  <c r="AF30" i="1"/>
  <c r="AF35" i="1"/>
  <c r="AF28" i="1"/>
  <c r="AF39" i="1"/>
  <c r="AF31" i="1"/>
  <c r="AF29" i="1"/>
  <c r="AF42" i="1"/>
  <c r="AF25" i="1"/>
  <c r="AF27" i="1"/>
  <c r="AF38" i="1"/>
  <c r="AF32" i="1"/>
  <c r="AF36" i="1"/>
  <c r="AF24" i="1"/>
  <c r="AF37" i="1"/>
  <c r="AF40" i="1"/>
  <c r="AF34" i="1"/>
  <c r="AF41" i="1"/>
  <c r="AF23" i="1"/>
  <c r="AF26" i="1"/>
  <c r="A43" i="1"/>
  <c r="C42" i="1"/>
  <c r="B42" i="1"/>
  <c r="N42" i="1"/>
  <c r="O42" i="1"/>
  <c r="P42" i="1"/>
  <c r="Q42" i="1"/>
  <c r="R42" i="1"/>
  <c r="S42" i="1"/>
  <c r="T42" i="1"/>
  <c r="U42" i="1"/>
  <c r="V42" i="1"/>
  <c r="W42" i="1"/>
  <c r="X42" i="1"/>
  <c r="Y42" i="1"/>
  <c r="Z42" i="1"/>
  <c r="AA42" i="1"/>
  <c r="AB42" i="1"/>
  <c r="AC42" i="1"/>
  <c r="AD42" i="1"/>
  <c r="V148" i="4" l="1"/>
  <c r="B21" i="6" s="1"/>
  <c r="AU218" i="4"/>
  <c r="AT217" i="4"/>
  <c r="AK52" i="4"/>
  <c r="AK53" i="4" s="1"/>
  <c r="AK54" i="4" s="1"/>
  <c r="AK55" i="4" s="1"/>
  <c r="AK56" i="4" s="1"/>
  <c r="AL51" i="4" s="1"/>
  <c r="H42" i="1"/>
  <c r="J42" i="1"/>
  <c r="F42" i="1"/>
  <c r="G42" i="1"/>
  <c r="M42" i="1"/>
  <c r="AH21" i="1" s="1"/>
  <c r="AH19" i="1" s="1"/>
  <c r="L42" i="1"/>
  <c r="E42" i="1"/>
  <c r="I42" i="1"/>
  <c r="K42" i="1"/>
  <c r="D42" i="1"/>
  <c r="C43" i="1"/>
  <c r="A44" i="1"/>
  <c r="B43" i="1"/>
  <c r="N43" i="1"/>
  <c r="O43" i="1"/>
  <c r="P43" i="1"/>
  <c r="Q43" i="1"/>
  <c r="R43" i="1"/>
  <c r="S43" i="1"/>
  <c r="T43" i="1"/>
  <c r="U43" i="1"/>
  <c r="V43" i="1"/>
  <c r="W43" i="1"/>
  <c r="X43" i="1"/>
  <c r="Y43" i="1"/>
  <c r="Z43" i="1"/>
  <c r="AA43" i="1"/>
  <c r="AB43" i="1"/>
  <c r="AC43" i="1"/>
  <c r="AD43" i="1"/>
  <c r="AE43" i="1"/>
  <c r="AF43" i="1"/>
  <c r="AG29" i="1"/>
  <c r="AG44" i="1"/>
  <c r="AG24" i="1"/>
  <c r="AG33" i="1"/>
  <c r="AG25" i="1"/>
  <c r="AG38" i="1"/>
  <c r="AG23" i="1"/>
  <c r="AG26" i="1"/>
  <c r="AG31" i="1"/>
  <c r="AG32" i="1"/>
  <c r="AG43" i="1"/>
  <c r="AG36" i="1"/>
  <c r="AG39" i="1"/>
  <c r="AG30" i="1"/>
  <c r="AG22" i="1"/>
  <c r="AG35" i="1"/>
  <c r="AG37" i="1"/>
  <c r="AG27" i="1"/>
  <c r="AG40" i="1"/>
  <c r="AG42" i="1"/>
  <c r="AG34" i="1"/>
  <c r="AG28" i="1"/>
  <c r="AG41" i="1"/>
  <c r="M9" i="16"/>
  <c r="M12" i="16"/>
  <c r="AM20" i="1"/>
  <c r="AS253" i="4"/>
  <c r="AS252" i="4"/>
  <c r="AR251" i="4"/>
  <c r="C21" i="6" l="1"/>
  <c r="K21" i="6"/>
  <c r="K49" i="6" s="1"/>
  <c r="D14" i="8"/>
  <c r="AS217" i="4"/>
  <c r="AT218" i="4"/>
  <c r="AL52" i="4"/>
  <c r="AL53" i="4" s="1"/>
  <c r="AL54" i="4" s="1"/>
  <c r="AL55" i="4" s="1"/>
  <c r="AL56" i="4" s="1"/>
  <c r="AM51" i="4" s="1"/>
  <c r="AN20" i="1"/>
  <c r="G143" i="4"/>
  <c r="G28" i="16"/>
  <c r="AH29" i="1"/>
  <c r="AH27" i="1"/>
  <c r="AH40" i="1"/>
  <c r="AH39" i="1"/>
  <c r="AH25" i="1"/>
  <c r="AH32" i="1"/>
  <c r="AH23" i="1"/>
  <c r="AH34" i="1"/>
  <c r="AH35" i="1"/>
  <c r="AH42" i="1"/>
  <c r="AH44" i="1"/>
  <c r="AH22" i="1"/>
  <c r="AH31" i="1"/>
  <c r="AH24" i="1"/>
  <c r="AH30" i="1"/>
  <c r="AH36" i="1"/>
  <c r="AH28" i="1"/>
  <c r="AH33" i="1"/>
  <c r="AH26" i="1"/>
  <c r="AH43" i="1"/>
  <c r="AH41" i="1"/>
  <c r="AH38" i="1"/>
  <c r="AH37" i="1"/>
  <c r="AR253" i="4"/>
  <c r="AD256" i="4" s="1"/>
  <c r="V252" i="4"/>
  <c r="AR252" i="4"/>
  <c r="G29" i="16"/>
  <c r="D143" i="4"/>
  <c r="C44" i="1"/>
  <c r="A45" i="1"/>
  <c r="AH45" i="1" s="1"/>
  <c r="B44" i="1"/>
  <c r="N44" i="1"/>
  <c r="O44" i="1"/>
  <c r="P44" i="1"/>
  <c r="Q44" i="1"/>
  <c r="R44" i="1"/>
  <c r="S44" i="1"/>
  <c r="T44" i="1"/>
  <c r="U44" i="1"/>
  <c r="V44" i="1"/>
  <c r="W44" i="1"/>
  <c r="X44" i="1"/>
  <c r="Y44" i="1"/>
  <c r="Z44" i="1"/>
  <c r="AA44" i="1"/>
  <c r="AB44" i="1"/>
  <c r="AC44" i="1"/>
  <c r="AD44" i="1"/>
  <c r="AE44" i="1"/>
  <c r="AF44" i="1"/>
  <c r="E43" i="1"/>
  <c r="J43" i="1"/>
  <c r="M43" i="1"/>
  <c r="AI21" i="1" s="1"/>
  <c r="AI19" i="1" s="1"/>
  <c r="K43" i="1"/>
  <c r="F43" i="1"/>
  <c r="G43" i="1"/>
  <c r="I43" i="1"/>
  <c r="H43" i="1"/>
  <c r="L43" i="1"/>
  <c r="D43" i="1"/>
  <c r="C14" i="8" l="1"/>
  <c r="E14" i="8"/>
  <c r="P14" i="8"/>
  <c r="B14" i="8"/>
  <c r="B15" i="8" s="1"/>
  <c r="AR217" i="4"/>
  <c r="AS218" i="4"/>
  <c r="AM52" i="4"/>
  <c r="AM53" i="4" s="1"/>
  <c r="AM54" i="4" s="1"/>
  <c r="AM55" i="4" s="1"/>
  <c r="AM56" i="4" s="1"/>
  <c r="AN51" i="4" s="1"/>
  <c r="K44" i="1"/>
  <c r="F44" i="1"/>
  <c r="M44" i="1"/>
  <c r="AJ21" i="1" s="1"/>
  <c r="AJ19" i="1" s="1"/>
  <c r="G44" i="1"/>
  <c r="H44" i="1"/>
  <c r="E44" i="1"/>
  <c r="J44" i="1"/>
  <c r="I44" i="1"/>
  <c r="L44" i="1"/>
  <c r="D44" i="1"/>
  <c r="AB252" i="4"/>
  <c r="V253" i="4"/>
  <c r="AO20" i="1"/>
  <c r="A46" i="1"/>
  <c r="B45" i="1"/>
  <c r="C45" i="1"/>
  <c r="N45" i="1"/>
  <c r="O45" i="1"/>
  <c r="P45" i="1"/>
  <c r="Q45" i="1"/>
  <c r="R45" i="1"/>
  <c r="S45" i="1"/>
  <c r="T45" i="1"/>
  <c r="U45" i="1"/>
  <c r="V45" i="1"/>
  <c r="W45" i="1"/>
  <c r="X45" i="1"/>
  <c r="Y45" i="1"/>
  <c r="Z45" i="1"/>
  <c r="AA45" i="1"/>
  <c r="AB45" i="1"/>
  <c r="AC45" i="1"/>
  <c r="AD45" i="1"/>
  <c r="AE45" i="1"/>
  <c r="AF45" i="1"/>
  <c r="AG45" i="1"/>
  <c r="AD257" i="4"/>
  <c r="AE257" i="4" s="1"/>
  <c r="AF257" i="4" s="1"/>
  <c r="AE256" i="4"/>
  <c r="AF256" i="4" s="1"/>
  <c r="D28" i="16"/>
  <c r="M18" i="16"/>
  <c r="D140" i="4" s="1"/>
  <c r="AI29" i="1"/>
  <c r="AI41" i="1"/>
  <c r="AI39" i="1"/>
  <c r="AI37" i="1"/>
  <c r="AI46" i="1"/>
  <c r="AI27" i="1"/>
  <c r="AI26" i="1"/>
  <c r="AI28" i="1"/>
  <c r="AI32" i="1"/>
  <c r="AI30" i="1"/>
  <c r="AI31" i="1"/>
  <c r="AI45" i="1"/>
  <c r="AI40" i="1"/>
  <c r="AI43" i="1"/>
  <c r="AI33" i="1"/>
  <c r="AI24" i="1"/>
  <c r="AI34" i="1"/>
  <c r="AI36" i="1"/>
  <c r="AI38" i="1"/>
  <c r="AI25" i="1"/>
  <c r="AI23" i="1"/>
  <c r="AI35" i="1"/>
  <c r="AI44" i="1"/>
  <c r="AI42" i="1"/>
  <c r="AI22" i="1"/>
  <c r="F14" i="8" l="1"/>
  <c r="F26" i="8"/>
  <c r="V218" i="4"/>
  <c r="V256" i="4" s="1"/>
  <c r="AR218" i="4"/>
  <c r="AN52" i="4"/>
  <c r="AN53" i="4" s="1"/>
  <c r="AN54" i="4" s="1"/>
  <c r="AN55" i="4" s="1"/>
  <c r="AN56" i="4" s="1"/>
  <c r="AO51" i="4" s="1"/>
  <c r="V259" i="4"/>
  <c r="A47" i="1"/>
  <c r="AJ47" i="1" s="1"/>
  <c r="B46" i="1"/>
  <c r="C46" i="1" s="1"/>
  <c r="N46" i="1"/>
  <c r="O46" i="1"/>
  <c r="P46" i="1"/>
  <c r="Q46" i="1"/>
  <c r="R46" i="1"/>
  <c r="S46" i="1"/>
  <c r="T46" i="1"/>
  <c r="U46" i="1"/>
  <c r="V46" i="1"/>
  <c r="W46" i="1"/>
  <c r="X46" i="1"/>
  <c r="Y46" i="1"/>
  <c r="Z46" i="1"/>
  <c r="AA46" i="1"/>
  <c r="AB46" i="1"/>
  <c r="AC46" i="1"/>
  <c r="AD46" i="1"/>
  <c r="AE46" i="1"/>
  <c r="AF46" i="1"/>
  <c r="AG46" i="1"/>
  <c r="AH46" i="1"/>
  <c r="I45" i="1"/>
  <c r="D45" i="1"/>
  <c r="L45" i="1"/>
  <c r="J45" i="1"/>
  <c r="F45" i="1"/>
  <c r="E45" i="1"/>
  <c r="K45" i="1"/>
  <c r="M45" i="1"/>
  <c r="AK21" i="1" s="1"/>
  <c r="AK19" i="1" s="1"/>
  <c r="G45" i="1"/>
  <c r="H45" i="1"/>
  <c r="AP20" i="1"/>
  <c r="AJ40" i="1"/>
  <c r="AJ43" i="1"/>
  <c r="AJ31" i="1"/>
  <c r="AJ39" i="1"/>
  <c r="AJ34" i="1"/>
  <c r="AJ44" i="1"/>
  <c r="AJ22" i="1"/>
  <c r="AJ36" i="1"/>
  <c r="AJ32" i="1"/>
  <c r="AJ35" i="1"/>
  <c r="AJ29" i="1"/>
  <c r="AJ23" i="1"/>
  <c r="AJ38" i="1"/>
  <c r="AJ27" i="1"/>
  <c r="AJ46" i="1"/>
  <c r="AJ45" i="1"/>
  <c r="AJ37" i="1"/>
  <c r="AJ26" i="1"/>
  <c r="AJ24" i="1"/>
  <c r="AJ42" i="1"/>
  <c r="AJ25" i="1"/>
  <c r="AJ41" i="1"/>
  <c r="AJ28" i="1"/>
  <c r="AJ30" i="1"/>
  <c r="AJ33" i="1"/>
  <c r="V255" i="4" l="1"/>
  <c r="V219" i="4"/>
  <c r="AO52" i="4"/>
  <c r="AO53" i="4" s="1"/>
  <c r="AO54" i="4" s="1"/>
  <c r="AO55" i="4" s="1"/>
  <c r="AO56" i="4" s="1"/>
  <c r="AP51" i="4" s="1"/>
  <c r="H46" i="1"/>
  <c r="F46" i="1"/>
  <c r="D46" i="1"/>
  <c r="L46" i="1"/>
  <c r="K46" i="1"/>
  <c r="G46" i="1"/>
  <c r="J46" i="1"/>
  <c r="M46" i="1"/>
  <c r="AL21" i="1" s="1"/>
  <c r="AL19" i="1" s="1"/>
  <c r="E46" i="1"/>
  <c r="I46" i="1"/>
  <c r="AQ20" i="1"/>
  <c r="AK47" i="1"/>
  <c r="AK41" i="1"/>
  <c r="AK34" i="1"/>
  <c r="AK35" i="1"/>
  <c r="AK28" i="1"/>
  <c r="AK32" i="1"/>
  <c r="AK46" i="1"/>
  <c r="AK38" i="1"/>
  <c r="AK33" i="1"/>
  <c r="AK29" i="1"/>
  <c r="AK48" i="1"/>
  <c r="AK31" i="1"/>
  <c r="AK43" i="1"/>
  <c r="AK25" i="1"/>
  <c r="AK26" i="1"/>
  <c r="AK24" i="1"/>
  <c r="AK44" i="1"/>
  <c r="AK37" i="1"/>
  <c r="AK39" i="1"/>
  <c r="AK40" i="1"/>
  <c r="AK36" i="1"/>
  <c r="AK23" i="1"/>
  <c r="AK45" i="1"/>
  <c r="AK22" i="1"/>
  <c r="AK27" i="1"/>
  <c r="AK30" i="1"/>
  <c r="AK42" i="1"/>
  <c r="A48" i="1"/>
  <c r="B47" i="1"/>
  <c r="C47" i="1"/>
  <c r="N47" i="1"/>
  <c r="O47" i="1"/>
  <c r="P47" i="1"/>
  <c r="Q47" i="1"/>
  <c r="R47" i="1"/>
  <c r="S47" i="1"/>
  <c r="T47" i="1"/>
  <c r="U47" i="1"/>
  <c r="V47" i="1"/>
  <c r="W47" i="1"/>
  <c r="X47" i="1"/>
  <c r="Y47" i="1"/>
  <c r="Z47" i="1"/>
  <c r="AA47" i="1"/>
  <c r="AB47" i="1"/>
  <c r="AC47" i="1"/>
  <c r="AD47" i="1"/>
  <c r="AE47" i="1"/>
  <c r="AF47" i="1"/>
  <c r="AG47" i="1"/>
  <c r="AH47" i="1"/>
  <c r="AI47" i="1"/>
  <c r="G83" i="4" l="1"/>
  <c r="W257" i="4"/>
  <c r="V257" i="4"/>
  <c r="V258" i="4"/>
  <c r="W258" i="4"/>
  <c r="W256" i="4"/>
  <c r="AP52" i="4"/>
  <c r="AP53" i="4" s="1"/>
  <c r="AP54" i="4" s="1"/>
  <c r="AP55" i="4" s="1"/>
  <c r="AP56" i="4" s="1"/>
  <c r="AQ51" i="4" s="1"/>
  <c r="L47" i="1"/>
  <c r="D47" i="1"/>
  <c r="J47" i="1"/>
  <c r="M47" i="1"/>
  <c r="AM21" i="1" s="1"/>
  <c r="AM19" i="1" s="1"/>
  <c r="H47" i="1"/>
  <c r="K47" i="1"/>
  <c r="E47" i="1"/>
  <c r="F47" i="1"/>
  <c r="I47" i="1"/>
  <c r="G47" i="1"/>
  <c r="B48" i="1"/>
  <c r="C48" i="1" s="1"/>
  <c r="A49" i="1"/>
  <c r="N48" i="1"/>
  <c r="O48" i="1"/>
  <c r="P48" i="1"/>
  <c r="Q48" i="1"/>
  <c r="R48" i="1"/>
  <c r="S48" i="1"/>
  <c r="T48" i="1"/>
  <c r="U48" i="1"/>
  <c r="V48" i="1"/>
  <c r="W48" i="1"/>
  <c r="X48" i="1"/>
  <c r="Y48" i="1"/>
  <c r="Z48" i="1"/>
  <c r="AA48" i="1"/>
  <c r="AB48" i="1"/>
  <c r="AC48" i="1"/>
  <c r="AD48" i="1"/>
  <c r="AE48" i="1"/>
  <c r="AF48" i="1"/>
  <c r="AG48" i="1"/>
  <c r="AH48" i="1"/>
  <c r="AI48" i="1"/>
  <c r="AJ48" i="1"/>
  <c r="AL32" i="1"/>
  <c r="AL46" i="1"/>
  <c r="AL39" i="1"/>
  <c r="AL47" i="1"/>
  <c r="AL30" i="1"/>
  <c r="AL42" i="1"/>
  <c r="AL34" i="1"/>
  <c r="AL28" i="1"/>
  <c r="AL48" i="1"/>
  <c r="AL26" i="1"/>
  <c r="AL49" i="1"/>
  <c r="AL43" i="1"/>
  <c r="AL31" i="1"/>
  <c r="AL38" i="1"/>
  <c r="AL29" i="1"/>
  <c r="AL45" i="1"/>
  <c r="AL37" i="1"/>
  <c r="AL41" i="1"/>
  <c r="AL23" i="1"/>
  <c r="AL24" i="1"/>
  <c r="AL25" i="1"/>
  <c r="AL40" i="1"/>
  <c r="AL33" i="1"/>
  <c r="AL35" i="1"/>
  <c r="AL27" i="1"/>
  <c r="AL44" i="1"/>
  <c r="AL36" i="1"/>
  <c r="AL22" i="1"/>
  <c r="AR20" i="1"/>
  <c r="AQ52" i="4" l="1"/>
  <c r="AQ53" i="4" s="1"/>
  <c r="AQ54" i="4" s="1"/>
  <c r="AQ55" i="4" s="1"/>
  <c r="AQ56" i="4" s="1"/>
  <c r="AR51" i="4" s="1"/>
  <c r="M48" i="1"/>
  <c r="AN21" i="1" s="1"/>
  <c r="AN19" i="1" s="1"/>
  <c r="D48" i="1"/>
  <c r="I48" i="1"/>
  <c r="J48" i="1"/>
  <c r="E48" i="1"/>
  <c r="F48" i="1"/>
  <c r="L48" i="1"/>
  <c r="G48" i="1"/>
  <c r="H48" i="1"/>
  <c r="K48" i="1"/>
  <c r="B49" i="1"/>
  <c r="C49" i="1" s="1"/>
  <c r="A50" i="1"/>
  <c r="N49" i="1"/>
  <c r="O49" i="1"/>
  <c r="P49" i="1"/>
  <c r="Q49" i="1"/>
  <c r="R49" i="1"/>
  <c r="S49" i="1"/>
  <c r="T49" i="1"/>
  <c r="U49" i="1"/>
  <c r="V49" i="1"/>
  <c r="W49" i="1"/>
  <c r="X49" i="1"/>
  <c r="Y49" i="1"/>
  <c r="Z49" i="1"/>
  <c r="AA49" i="1"/>
  <c r="AB49" i="1"/>
  <c r="AC49" i="1"/>
  <c r="AD49" i="1"/>
  <c r="AE49" i="1"/>
  <c r="AF49" i="1"/>
  <c r="AG49" i="1"/>
  <c r="AH49" i="1"/>
  <c r="AI49" i="1"/>
  <c r="AJ49" i="1"/>
  <c r="AK49" i="1"/>
  <c r="AM35" i="1"/>
  <c r="AM45" i="1"/>
  <c r="AM24" i="1"/>
  <c r="AM27" i="1"/>
  <c r="AM39" i="1"/>
  <c r="AM49" i="1"/>
  <c r="AM50" i="1"/>
  <c r="AM30" i="1"/>
  <c r="AM37" i="1"/>
  <c r="AM28" i="1"/>
  <c r="AM43" i="1"/>
  <c r="AM34" i="1"/>
  <c r="AM47" i="1"/>
  <c r="AM48" i="1"/>
  <c r="AM44" i="1"/>
  <c r="AM36" i="1"/>
  <c r="AM29" i="1"/>
  <c r="AM26" i="1"/>
  <c r="AM38" i="1"/>
  <c r="AM22" i="1"/>
  <c r="AM41" i="1"/>
  <c r="AM42" i="1"/>
  <c r="AM25" i="1"/>
  <c r="AM32" i="1"/>
  <c r="AM33" i="1"/>
  <c r="AM23" i="1"/>
  <c r="AM40" i="1"/>
  <c r="AM31" i="1"/>
  <c r="AM46" i="1"/>
  <c r="K49" i="1" l="1"/>
  <c r="E49" i="1"/>
  <c r="H49" i="1"/>
  <c r="F49" i="1"/>
  <c r="G49" i="1"/>
  <c r="L49" i="1"/>
  <c r="I49" i="1"/>
  <c r="J49" i="1"/>
  <c r="M49" i="1"/>
  <c r="AO21" i="1" s="1"/>
  <c r="AO19" i="1" s="1"/>
  <c r="D49" i="1"/>
  <c r="AR52" i="4"/>
  <c r="AR53" i="4" s="1"/>
  <c r="AR54" i="4" s="1"/>
  <c r="AR55" i="4" s="1"/>
  <c r="AR56" i="4" s="1"/>
  <c r="AS51" i="4"/>
  <c r="C50" i="1"/>
  <c r="B50" i="1"/>
  <c r="A51" i="1"/>
  <c r="N50" i="1"/>
  <c r="O50" i="1"/>
  <c r="P50" i="1"/>
  <c r="Q50" i="1"/>
  <c r="R50" i="1"/>
  <c r="S50" i="1"/>
  <c r="T50" i="1"/>
  <c r="U50" i="1"/>
  <c r="V50" i="1"/>
  <c r="W50" i="1"/>
  <c r="X50" i="1"/>
  <c r="Y50" i="1"/>
  <c r="Z50" i="1"/>
  <c r="AA50" i="1"/>
  <c r="AB50" i="1"/>
  <c r="AC50" i="1"/>
  <c r="AD50" i="1"/>
  <c r="AE50" i="1"/>
  <c r="AF50" i="1"/>
  <c r="AG50" i="1"/>
  <c r="AH50" i="1"/>
  <c r="AI50" i="1"/>
  <c r="AJ50" i="1"/>
  <c r="AK50" i="1"/>
  <c r="AL50" i="1"/>
  <c r="AN24" i="1"/>
  <c r="AN36" i="1"/>
  <c r="AN44" i="1"/>
  <c r="AN30" i="1"/>
  <c r="AN45" i="1"/>
  <c r="AN29" i="1"/>
  <c r="AN22" i="1"/>
  <c r="AN37" i="1"/>
  <c r="AN32" i="1"/>
  <c r="AN34" i="1"/>
  <c r="AN31" i="1"/>
  <c r="AN28" i="1"/>
  <c r="AN43" i="1"/>
  <c r="AN40" i="1"/>
  <c r="AN47" i="1"/>
  <c r="AN23" i="1"/>
  <c r="AN41" i="1"/>
  <c r="AN50" i="1"/>
  <c r="AN49" i="1"/>
  <c r="AN33" i="1"/>
  <c r="AN48" i="1"/>
  <c r="AN27" i="1"/>
  <c r="AN26" i="1"/>
  <c r="AN38" i="1"/>
  <c r="AN25" i="1"/>
  <c r="AN42" i="1"/>
  <c r="AN35" i="1"/>
  <c r="AN39" i="1"/>
  <c r="AN46" i="1"/>
  <c r="AN51" i="1"/>
  <c r="AS52" i="4" l="1"/>
  <c r="AS53" i="4" s="1"/>
  <c r="AS54" i="4" s="1"/>
  <c r="AS55" i="4" s="1"/>
  <c r="AS56" i="4" s="1"/>
  <c r="AT51" i="4" s="1"/>
  <c r="A52" i="1"/>
  <c r="B51" i="1"/>
  <c r="C51" i="1" s="1"/>
  <c r="N51" i="1"/>
  <c r="O51" i="1"/>
  <c r="P51" i="1"/>
  <c r="Q51" i="1"/>
  <c r="R51" i="1"/>
  <c r="S51" i="1"/>
  <c r="T51" i="1"/>
  <c r="U51" i="1"/>
  <c r="V51" i="1"/>
  <c r="W51" i="1"/>
  <c r="X51" i="1"/>
  <c r="Y51" i="1"/>
  <c r="Z51" i="1"/>
  <c r="AA51" i="1"/>
  <c r="AB51" i="1"/>
  <c r="AC51" i="1"/>
  <c r="AD51" i="1"/>
  <c r="AE51" i="1"/>
  <c r="AF51" i="1"/>
  <c r="AG51" i="1"/>
  <c r="AH51" i="1"/>
  <c r="AI51" i="1"/>
  <c r="AJ51" i="1"/>
  <c r="AK51" i="1"/>
  <c r="AL51" i="1"/>
  <c r="AM51" i="1"/>
  <c r="K50" i="1"/>
  <c r="I50" i="1"/>
  <c r="J50" i="1"/>
  <c r="M50" i="1"/>
  <c r="AP21" i="1" s="1"/>
  <c r="AP19" i="1" s="1"/>
  <c r="L50" i="1"/>
  <c r="H50" i="1"/>
  <c r="E50" i="1"/>
  <c r="D50" i="1"/>
  <c r="F50" i="1"/>
  <c r="G50" i="1"/>
  <c r="AO26" i="1"/>
  <c r="AO33" i="1"/>
  <c r="AO46" i="1"/>
  <c r="AO29" i="1"/>
  <c r="AO32" i="1"/>
  <c r="AO34" i="1"/>
  <c r="AO40" i="1"/>
  <c r="AO36" i="1"/>
  <c r="AO51" i="1"/>
  <c r="AO23" i="1"/>
  <c r="AO38" i="1"/>
  <c r="AO45" i="1"/>
  <c r="AO28" i="1"/>
  <c r="AO47" i="1"/>
  <c r="AO37" i="1"/>
  <c r="AO43" i="1"/>
  <c r="AO41" i="1"/>
  <c r="AO25" i="1"/>
  <c r="AO44" i="1"/>
  <c r="AO31" i="1"/>
  <c r="AO39" i="1"/>
  <c r="AO27" i="1"/>
  <c r="AO42" i="1"/>
  <c r="AO30" i="1"/>
  <c r="AO48" i="1"/>
  <c r="AO35" i="1"/>
  <c r="AO49" i="1"/>
  <c r="AO50" i="1"/>
  <c r="AO22" i="1"/>
  <c r="AO24" i="1"/>
  <c r="AT52" i="4" l="1"/>
  <c r="AT53" i="4" s="1"/>
  <c r="AT54" i="4" s="1"/>
  <c r="AT55" i="4" s="1"/>
  <c r="AT56" i="4" s="1"/>
  <c r="AU51" i="4" s="1"/>
  <c r="K51" i="1"/>
  <c r="H51" i="1"/>
  <c r="J51" i="1"/>
  <c r="L51" i="1"/>
  <c r="E51" i="1"/>
  <c r="D51" i="1"/>
  <c r="G51" i="1"/>
  <c r="M51" i="1"/>
  <c r="AQ21" i="1" s="1"/>
  <c r="AQ19" i="1" s="1"/>
  <c r="I51" i="1"/>
  <c r="F51" i="1"/>
  <c r="B52" i="1"/>
  <c r="C52" i="1" s="1"/>
  <c r="N52" i="1"/>
  <c r="O52" i="1"/>
  <c r="P52" i="1"/>
  <c r="Q52" i="1"/>
  <c r="R52" i="1"/>
  <c r="S52" i="1"/>
  <c r="T52" i="1"/>
  <c r="U52" i="1"/>
  <c r="V52" i="1"/>
  <c r="W52" i="1"/>
  <c r="X52" i="1"/>
  <c r="Y52" i="1"/>
  <c r="Z52" i="1"/>
  <c r="AA52" i="1"/>
  <c r="AB52" i="1"/>
  <c r="AC52" i="1"/>
  <c r="AD52" i="1"/>
  <c r="AE52" i="1"/>
  <c r="AF52" i="1"/>
  <c r="AG52" i="1"/>
  <c r="AH52" i="1"/>
  <c r="AI52" i="1"/>
  <c r="AJ52" i="1"/>
  <c r="AK52" i="1"/>
  <c r="AL52" i="1"/>
  <c r="AM52" i="1"/>
  <c r="AN52" i="1"/>
  <c r="AP25" i="1"/>
  <c r="AP35" i="1"/>
  <c r="AP23" i="1"/>
  <c r="AP30" i="1"/>
  <c r="AP31" i="1"/>
  <c r="AP38" i="1"/>
  <c r="AP40" i="1"/>
  <c r="AP43" i="1"/>
  <c r="AP29" i="1"/>
  <c r="AP22" i="1"/>
  <c r="AP37" i="1"/>
  <c r="AP41" i="1"/>
  <c r="AP49" i="1"/>
  <c r="AP33" i="1"/>
  <c r="AP36" i="1"/>
  <c r="AP52" i="1"/>
  <c r="AP24" i="1"/>
  <c r="AP34" i="1"/>
  <c r="AP48" i="1"/>
  <c r="AP26" i="1"/>
  <c r="AP32" i="1"/>
  <c r="AP46" i="1"/>
  <c r="AP47" i="1"/>
  <c r="AP39" i="1"/>
  <c r="AP50" i="1"/>
  <c r="AP28" i="1"/>
  <c r="AP27" i="1"/>
  <c r="AP44" i="1"/>
  <c r="AP45" i="1"/>
  <c r="AP42" i="1"/>
  <c r="AP51" i="1"/>
  <c r="AO52" i="1"/>
  <c r="AU52" i="4" l="1"/>
  <c r="AU53" i="4" s="1"/>
  <c r="AU54" i="4" s="1"/>
  <c r="AU55" i="4" s="1"/>
  <c r="AU56" i="4" s="1"/>
  <c r="AV51" i="4" s="1"/>
  <c r="E52" i="1"/>
  <c r="L52" i="1"/>
  <c r="H52" i="1"/>
  <c r="K52" i="1"/>
  <c r="G52" i="1"/>
  <c r="D52" i="1"/>
  <c r="J52" i="1"/>
  <c r="I52" i="1"/>
  <c r="M52" i="1"/>
  <c r="AR21" i="1" s="1"/>
  <c r="AR19" i="1" s="1"/>
  <c r="F52" i="1"/>
  <c r="AQ43" i="1"/>
  <c r="AQ23" i="1"/>
  <c r="AQ22" i="1"/>
  <c r="AQ33" i="1"/>
  <c r="AQ25" i="1"/>
  <c r="AQ48" i="1"/>
  <c r="AQ37" i="1"/>
  <c r="AQ36" i="1"/>
  <c r="AQ26" i="1"/>
  <c r="AQ29" i="1"/>
  <c r="AQ40" i="1"/>
  <c r="AQ50" i="1"/>
  <c r="AQ39" i="1"/>
  <c r="AQ41" i="1"/>
  <c r="AQ31" i="1"/>
  <c r="AQ28" i="1"/>
  <c r="AQ47" i="1"/>
  <c r="AQ49" i="1"/>
  <c r="AQ45" i="1"/>
  <c r="AQ44" i="1"/>
  <c r="AQ35" i="1"/>
  <c r="AQ32" i="1"/>
  <c r="AQ34" i="1"/>
  <c r="AQ51" i="1"/>
  <c r="AQ52" i="1"/>
  <c r="AQ30" i="1"/>
  <c r="AQ27" i="1"/>
  <c r="AQ46" i="1"/>
  <c r="AQ38" i="1"/>
  <c r="AQ24" i="1"/>
  <c r="AQ42" i="1"/>
  <c r="AV52" i="4" l="1"/>
  <c r="AV53" i="4" s="1"/>
  <c r="AV54" i="4" s="1"/>
  <c r="AV55" i="4" s="1"/>
  <c r="AV56" i="4" s="1"/>
  <c r="AW51" i="4" s="1"/>
  <c r="AR28" i="1"/>
  <c r="AR30" i="1"/>
  <c r="AR27" i="1"/>
  <c r="AR49" i="1"/>
  <c r="AR35" i="1"/>
  <c r="AR36" i="1"/>
  <c r="AR37" i="1"/>
  <c r="AR26" i="1"/>
  <c r="AR29" i="1"/>
  <c r="AR25" i="1"/>
  <c r="AR45" i="1"/>
  <c r="AR48" i="1"/>
  <c r="AR38" i="1"/>
  <c r="AR23" i="1"/>
  <c r="AR52" i="1"/>
  <c r="AR47" i="1"/>
  <c r="AR33" i="1"/>
  <c r="AR39" i="1"/>
  <c r="AR32" i="1"/>
  <c r="AR44" i="1"/>
  <c r="AR24" i="1"/>
  <c r="AR22" i="1"/>
  <c r="AR50" i="1"/>
  <c r="AR31" i="1"/>
  <c r="AR41" i="1"/>
  <c r="AR43" i="1"/>
  <c r="AR46" i="1"/>
  <c r="AR34" i="1"/>
  <c r="AR40" i="1"/>
  <c r="AR42" i="1"/>
  <c r="AR51" i="1"/>
  <c r="AW52" i="4" l="1"/>
  <c r="AW53" i="4" s="1"/>
  <c r="AW54" i="4" s="1"/>
  <c r="AW55" i="4" s="1"/>
  <c r="AW56" i="4" s="1"/>
  <c r="AX51" i="4" s="1"/>
  <c r="AX52" i="4" l="1"/>
  <c r="AX53" i="4" s="1"/>
  <c r="AX54" i="4" s="1"/>
  <c r="AX55" i="4" s="1"/>
  <c r="AX56" i="4" s="1"/>
  <c r="AY51" i="4" s="1"/>
  <c r="AY52" i="4" l="1"/>
  <c r="AY53" i="4" s="1"/>
  <c r="AY54" i="4" s="1"/>
  <c r="AY55" i="4" s="1"/>
  <c r="AY56" i="4" s="1"/>
  <c r="AZ51" i="4" s="1"/>
  <c r="AZ52" i="4" l="1"/>
  <c r="AZ53" i="4" s="1"/>
  <c r="AZ54" i="4" s="1"/>
  <c r="AZ55" i="4" s="1"/>
  <c r="AZ56" i="4" s="1"/>
  <c r="BA51" i="4" s="1"/>
  <c r="BA52" i="4" l="1"/>
  <c r="BA53" i="4" s="1"/>
  <c r="BA54" i="4" s="1"/>
  <c r="BA55" i="4" s="1"/>
  <c r="BA56" i="4" s="1"/>
  <c r="BB51" i="4" s="1"/>
  <c r="BB52" i="4" l="1"/>
  <c r="BB53" i="4" s="1"/>
  <c r="BB54" i="4" s="1"/>
  <c r="BB55" i="4" s="1"/>
  <c r="BB56" i="4" s="1"/>
  <c r="BC51" i="4" s="1"/>
  <c r="BC52" i="4" l="1"/>
  <c r="BC53" i="4" s="1"/>
  <c r="BC54" i="4" s="1"/>
  <c r="BC55" i="4" s="1"/>
  <c r="BC56" i="4" s="1"/>
  <c r="BD51" i="4" s="1"/>
  <c r="BD52" i="4" l="1"/>
  <c r="BD53" i="4" s="1"/>
  <c r="BD54" i="4" s="1"/>
  <c r="BD55" i="4" s="1"/>
  <c r="BD56" i="4" s="1"/>
  <c r="BE51" i="4" s="1"/>
  <c r="BE52" i="4" l="1"/>
  <c r="BE53" i="4" s="1"/>
  <c r="BE54" i="4" s="1"/>
  <c r="BE55" i="4" s="1"/>
  <c r="BE56" i="4" s="1"/>
  <c r="BF51" i="4" s="1"/>
  <c r="BF52" i="4" l="1"/>
  <c r="BF53" i="4" s="1"/>
  <c r="BF54" i="4" s="1"/>
  <c r="BF55" i="4" s="1"/>
  <c r="BF56" i="4" s="1"/>
  <c r="BH51" i="4" s="1"/>
  <c r="BH52" i="4" l="1"/>
  <c r="BH53" i="4" s="1"/>
  <c r="BH54" i="4" s="1"/>
  <c r="BH55" i="4" s="1"/>
  <c r="BH56" i="4" s="1"/>
  <c r="BI51" i="4" s="1"/>
  <c r="BI52" i="4" l="1"/>
  <c r="BI53" i="4" s="1"/>
  <c r="BI54" i="4" s="1"/>
  <c r="BI55" i="4" s="1"/>
  <c r="BI56" i="4" s="1"/>
  <c r="BJ51" i="4" s="1"/>
  <c r="BJ52" i="4" l="1"/>
  <c r="BJ53" i="4" s="1"/>
  <c r="BJ54" i="4" s="1"/>
  <c r="BJ55" i="4" s="1"/>
  <c r="BJ56" i="4" s="1"/>
  <c r="BK51" i="4" s="1"/>
  <c r="BK52" i="4" l="1"/>
  <c r="BK53" i="4" s="1"/>
  <c r="BK54" i="4" s="1"/>
  <c r="BK55" i="4" s="1"/>
  <c r="BK56" i="4" s="1"/>
  <c r="BL51" i="4" s="1"/>
  <c r="BL52" i="4" l="1"/>
  <c r="BL53" i="4" s="1"/>
  <c r="BL54" i="4" s="1"/>
  <c r="BL55" i="4" s="1"/>
  <c r="BL56" i="4" s="1"/>
  <c r="BM51" i="4" s="1"/>
  <c r="BM52" i="4" l="1"/>
  <c r="BM53" i="4" s="1"/>
  <c r="BM54" i="4" s="1"/>
  <c r="BM55" i="4" s="1"/>
  <c r="BM56" i="4" s="1"/>
  <c r="BN51" i="4" s="1"/>
  <c r="BN52" i="4" l="1"/>
  <c r="BN53" i="4" s="1"/>
  <c r="BN54" i="4" s="1"/>
  <c r="BN55" i="4" s="1"/>
  <c r="BN56" i="4" s="1"/>
  <c r="BO51" i="4" s="1"/>
  <c r="BO52" i="4" l="1"/>
  <c r="BO53" i="4" s="1"/>
  <c r="BO54" i="4" s="1"/>
  <c r="BO55" i="4" s="1"/>
  <c r="BO56" i="4" s="1"/>
  <c r="BP51" i="4" s="1"/>
  <c r="BP52" i="4" l="1"/>
  <c r="BP53" i="4" s="1"/>
  <c r="BP54" i="4" s="1"/>
  <c r="BP55" i="4" s="1"/>
  <c r="BP56" i="4" s="1"/>
  <c r="BQ51" i="4" s="1"/>
  <c r="BQ52" i="4" l="1"/>
  <c r="BQ53" i="4" s="1"/>
  <c r="BQ54" i="4" s="1"/>
  <c r="BQ55" i="4" s="1"/>
  <c r="BQ56" i="4" s="1"/>
  <c r="BR51" i="4" s="1"/>
  <c r="BR52" i="4" l="1"/>
  <c r="BR53" i="4" s="1"/>
  <c r="BR54" i="4" s="1"/>
  <c r="BR55" i="4" s="1"/>
  <c r="BR56" i="4" s="1"/>
  <c r="BS51" i="4" s="1"/>
  <c r="BS52" i="4" l="1"/>
  <c r="BS53" i="4" s="1"/>
  <c r="BS54" i="4" s="1"/>
  <c r="BS55" i="4" s="1"/>
  <c r="BS56" i="4" s="1"/>
  <c r="BT51" i="4" s="1"/>
  <c r="BT52" i="4" l="1"/>
  <c r="BT53" i="4" s="1"/>
  <c r="BT54" i="4" s="1"/>
  <c r="BT55" i="4" s="1"/>
  <c r="BT56" i="4" s="1"/>
  <c r="BU51" i="4" s="1"/>
  <c r="BU52" i="4" l="1"/>
  <c r="BU53" i="4" s="1"/>
  <c r="BU54" i="4" s="1"/>
  <c r="BU55" i="4" s="1"/>
  <c r="BU56" i="4" s="1"/>
  <c r="BV51" i="4" s="1"/>
  <c r="BV52" i="4" l="1"/>
  <c r="BV53" i="4" s="1"/>
  <c r="BV54" i="4" s="1"/>
  <c r="BV55" i="4" s="1"/>
  <c r="BV56" i="4" s="1"/>
  <c r="BW51" i="4" s="1"/>
  <c r="BW52" i="4" l="1"/>
  <c r="BW53" i="4" s="1"/>
  <c r="BW54" i="4" s="1"/>
  <c r="BW55" i="4" s="1"/>
  <c r="BW56" i="4" s="1"/>
  <c r="BX51" i="4" s="1"/>
  <c r="BX52" i="4" l="1"/>
  <c r="BX53" i="4" s="1"/>
  <c r="BX54" i="4" s="1"/>
  <c r="BX55" i="4" s="1"/>
  <c r="BX56" i="4" s="1"/>
  <c r="BY51" i="4" s="1"/>
  <c r="BY52" i="4" l="1"/>
  <c r="BY53" i="4" s="1"/>
  <c r="BY54" i="4" s="1"/>
  <c r="BY55" i="4" s="1"/>
  <c r="BY56" i="4" s="1"/>
  <c r="BZ51" i="4" s="1"/>
  <c r="BZ52" i="4" l="1"/>
  <c r="BZ53" i="4" s="1"/>
  <c r="BZ54" i="4" s="1"/>
  <c r="BZ55" i="4" s="1"/>
  <c r="BZ56" i="4" s="1"/>
  <c r="CA51" i="4" s="1"/>
  <c r="CA52" i="4" l="1"/>
  <c r="CA53" i="4" s="1"/>
  <c r="CA54" i="4" s="1"/>
  <c r="CA55" i="4" s="1"/>
  <c r="CA56" i="4" s="1"/>
  <c r="CB51" i="4" s="1"/>
  <c r="CB52" i="4" l="1"/>
  <c r="CB53" i="4" s="1"/>
  <c r="CB54" i="4" s="1"/>
  <c r="CB55" i="4" s="1"/>
  <c r="CB56" i="4" s="1"/>
  <c r="CC51" i="4" s="1"/>
  <c r="CC52" i="4" l="1"/>
  <c r="CC53" i="4" s="1"/>
  <c r="CC54" i="4" s="1"/>
  <c r="CC55" i="4" s="1"/>
  <c r="CC56" i="4" s="1"/>
  <c r="CD51" i="4" s="1"/>
  <c r="CD52" i="4" l="1"/>
  <c r="CD53" i="4" s="1"/>
  <c r="CD54" i="4" s="1"/>
  <c r="CD55" i="4" s="1"/>
  <c r="CD56" i="4" s="1"/>
  <c r="CE51" i="4" s="1"/>
  <c r="CE52" i="4" l="1"/>
  <c r="CE53" i="4" s="1"/>
  <c r="CE54" i="4" s="1"/>
  <c r="CE55" i="4" s="1"/>
  <c r="CE56" i="4" s="1"/>
  <c r="CF51" i="4" s="1"/>
  <c r="CF52" i="4" l="1"/>
  <c r="CF53" i="4" s="1"/>
  <c r="CF54" i="4" s="1"/>
  <c r="CF55" i="4" s="1"/>
  <c r="CF56" i="4" s="1"/>
  <c r="CG51" i="4" s="1"/>
  <c r="CG52" i="4" l="1"/>
  <c r="CG53" i="4" s="1"/>
  <c r="CG54" i="4" s="1"/>
  <c r="CG55" i="4" s="1"/>
  <c r="CG56" i="4" s="1"/>
  <c r="CH51" i="4" s="1"/>
  <c r="CH52" i="4" l="1"/>
  <c r="CH53" i="4" s="1"/>
  <c r="CH54" i="4" s="1"/>
  <c r="CH55" i="4" s="1"/>
  <c r="CH56" i="4" s="1"/>
  <c r="CI51" i="4" s="1"/>
  <c r="CI52" i="4" l="1"/>
  <c r="CI53" i="4" s="1"/>
  <c r="CI54" i="4" s="1"/>
  <c r="CI55" i="4" s="1"/>
  <c r="CI56" i="4" s="1"/>
  <c r="CJ51" i="4" s="1"/>
  <c r="CJ52" i="4" l="1"/>
  <c r="CJ53" i="4" s="1"/>
  <c r="CJ54" i="4" s="1"/>
  <c r="CJ55" i="4" s="1"/>
  <c r="CJ56" i="4" s="1"/>
  <c r="CK51" i="4" s="1"/>
  <c r="CK52" i="4" l="1"/>
  <c r="CK53" i="4" s="1"/>
  <c r="CK54" i="4" s="1"/>
  <c r="CK55" i="4" s="1"/>
  <c r="CK56" i="4" s="1"/>
  <c r="CL51" i="4" s="1"/>
  <c r="CL52" i="4" l="1"/>
  <c r="CL53" i="4" s="1"/>
  <c r="CL54" i="4" s="1"/>
  <c r="CL55" i="4" s="1"/>
  <c r="CL56" i="4" s="1"/>
  <c r="CM51" i="4" s="1"/>
  <c r="CM52" i="4" l="1"/>
  <c r="CM53" i="4" s="1"/>
  <c r="CM54" i="4" s="1"/>
  <c r="CM55" i="4" s="1"/>
  <c r="CM56" i="4" s="1"/>
  <c r="CN51" i="4" s="1"/>
  <c r="CN52" i="4" l="1"/>
  <c r="CN53" i="4" s="1"/>
  <c r="CN54" i="4" s="1"/>
  <c r="CN55" i="4" s="1"/>
  <c r="CN56" i="4" s="1"/>
  <c r="CO51" i="4" s="1"/>
  <c r="CO52" i="4" l="1"/>
  <c r="CO53" i="4" s="1"/>
  <c r="CO54" i="4" s="1"/>
  <c r="CO55" i="4" s="1"/>
  <c r="CO56" i="4" s="1"/>
  <c r="CP51" i="4" s="1"/>
  <c r="CP52" i="4" l="1"/>
  <c r="CP53" i="4" s="1"/>
  <c r="CP54" i="4" s="1"/>
  <c r="CP55" i="4" s="1"/>
  <c r="CP56" i="4" s="1"/>
  <c r="CQ51" i="4" s="1"/>
  <c r="CQ52" i="4" l="1"/>
  <c r="CQ53" i="4" s="1"/>
  <c r="CQ54" i="4" s="1"/>
  <c r="CQ55" i="4" s="1"/>
  <c r="CQ56" i="4" s="1"/>
  <c r="CR51" i="4" s="1"/>
  <c r="CR52" i="4" l="1"/>
  <c r="CR53" i="4" s="1"/>
  <c r="CR54" i="4" s="1"/>
  <c r="CR55" i="4" s="1"/>
  <c r="CR56" i="4" s="1"/>
  <c r="CS51" i="4" s="1"/>
  <c r="CS52" i="4" l="1"/>
  <c r="CS53" i="4" s="1"/>
  <c r="CS54" i="4" s="1"/>
  <c r="CS55" i="4" s="1"/>
  <c r="CS56" i="4" s="1"/>
  <c r="CT51" i="4" s="1"/>
  <c r="CT52" i="4" l="1"/>
  <c r="CT53" i="4" s="1"/>
  <c r="CT54" i="4" s="1"/>
  <c r="CT55" i="4" s="1"/>
  <c r="CT56" i="4" s="1"/>
  <c r="CU51" i="4" s="1"/>
  <c r="CU52" i="4" l="1"/>
  <c r="CU53" i="4" s="1"/>
  <c r="CU54" i="4" s="1"/>
  <c r="CU55" i="4" s="1"/>
  <c r="CU56" i="4" s="1"/>
  <c r="CV51" i="4" s="1"/>
  <c r="CV52" i="4" l="1"/>
  <c r="CV53" i="4" s="1"/>
  <c r="CV54" i="4" s="1"/>
  <c r="CV55" i="4" s="1"/>
  <c r="CV56" i="4" s="1"/>
  <c r="CW51" i="4" s="1"/>
  <c r="CW52" i="4" l="1"/>
  <c r="CW53" i="4" s="1"/>
  <c r="CW54" i="4" s="1"/>
  <c r="CW55" i="4" s="1"/>
  <c r="CW56" i="4" s="1"/>
  <c r="CX51" i="4" s="1"/>
  <c r="CX52" i="4" l="1"/>
  <c r="CX53" i="4" s="1"/>
  <c r="CX54" i="4" s="1"/>
  <c r="CX55" i="4" s="1"/>
  <c r="CX56" i="4" s="1"/>
  <c r="CY51" i="4" s="1"/>
  <c r="CY52" i="4" l="1"/>
  <c r="CY53" i="4" s="1"/>
  <c r="CY54" i="4" s="1"/>
  <c r="CY55" i="4" s="1"/>
  <c r="CY56" i="4" s="1"/>
  <c r="CZ51" i="4" s="1"/>
  <c r="CZ52" i="4" l="1"/>
  <c r="CZ53" i="4" s="1"/>
  <c r="CZ54" i="4" s="1"/>
  <c r="CZ55" i="4" s="1"/>
  <c r="CZ56" i="4" s="1"/>
  <c r="DA51" i="4" s="1"/>
  <c r="DA52" i="4" l="1"/>
  <c r="DA53" i="4" s="1"/>
  <c r="DA54" i="4" s="1"/>
  <c r="DA55" i="4" s="1"/>
  <c r="DA56" i="4" s="1"/>
  <c r="DB51" i="4" s="1"/>
  <c r="DB52" i="4" l="1"/>
  <c r="DB53" i="4" s="1"/>
  <c r="DB54" i="4" s="1"/>
  <c r="DB55" i="4" s="1"/>
  <c r="DB56" i="4" s="1"/>
  <c r="DC51" i="4" s="1"/>
  <c r="DC52" i="4" l="1"/>
  <c r="DC53" i="4" s="1"/>
  <c r="DC54" i="4" s="1"/>
  <c r="DC55" i="4" s="1"/>
  <c r="DC56" i="4" s="1"/>
  <c r="DD51" i="4" s="1"/>
  <c r="DD52" i="4" l="1"/>
  <c r="DD53" i="4" s="1"/>
  <c r="DD54" i="4" s="1"/>
  <c r="DD55" i="4" s="1"/>
  <c r="DD56" i="4" s="1"/>
  <c r="DE51" i="4" s="1"/>
  <c r="DE52" i="4" l="1"/>
  <c r="DE53" i="4" s="1"/>
  <c r="DE54" i="4" s="1"/>
  <c r="DE55" i="4" s="1"/>
  <c r="DE56" i="4" s="1"/>
  <c r="DF51" i="4" s="1"/>
  <c r="DF52" i="4" l="1"/>
  <c r="DF53" i="4" s="1"/>
  <c r="DF54" i="4" s="1"/>
  <c r="DF55" i="4" s="1"/>
  <c r="DF56" i="4" s="1"/>
  <c r="DG51" i="4" s="1"/>
  <c r="DG52" i="4" l="1"/>
  <c r="DG53" i="4" s="1"/>
  <c r="DG54" i="4" s="1"/>
  <c r="DG55" i="4" s="1"/>
  <c r="DG56" i="4" s="1"/>
  <c r="DH51" i="4" s="1"/>
  <c r="DH52" i="4" l="1"/>
  <c r="DH53" i="4" s="1"/>
  <c r="DH54" i="4" s="1"/>
  <c r="DH55" i="4" s="1"/>
  <c r="DH56" i="4" s="1"/>
  <c r="DI51" i="4" s="1"/>
  <c r="DI52" i="4" l="1"/>
  <c r="DI53" i="4" s="1"/>
  <c r="DI54" i="4" s="1"/>
  <c r="DI55" i="4" s="1"/>
  <c r="DI56" i="4" s="1"/>
  <c r="DJ51" i="4" s="1"/>
  <c r="DJ52" i="4" l="1"/>
  <c r="DJ53" i="4" s="1"/>
  <c r="DJ54" i="4" s="1"/>
  <c r="DJ55" i="4" s="1"/>
  <c r="DJ56" i="4" s="1"/>
  <c r="DK51" i="4" s="1"/>
  <c r="DK52" i="4" l="1"/>
  <c r="DK53" i="4" s="1"/>
  <c r="DK54" i="4" s="1"/>
  <c r="DK55" i="4" s="1"/>
  <c r="DK56" i="4" s="1"/>
  <c r="DL51" i="4" s="1"/>
  <c r="DL52" i="4" l="1"/>
  <c r="DL53" i="4" s="1"/>
  <c r="DL54" i="4" s="1"/>
  <c r="DL55" i="4" s="1"/>
  <c r="DL56" i="4" s="1"/>
  <c r="DM51" i="4" s="1"/>
  <c r="DM52" i="4" l="1"/>
  <c r="DM53" i="4" s="1"/>
  <c r="DM54" i="4" s="1"/>
  <c r="DM55" i="4" s="1"/>
  <c r="DM56" i="4" s="1"/>
  <c r="DN51" i="4" s="1"/>
  <c r="DN52" i="4" l="1"/>
  <c r="DN53" i="4" s="1"/>
  <c r="DN54" i="4" s="1"/>
  <c r="DN55" i="4" s="1"/>
  <c r="DN56" i="4" s="1"/>
  <c r="DO51" i="4" s="1"/>
  <c r="DO52" i="4" l="1"/>
  <c r="DO53" i="4" s="1"/>
  <c r="DO54" i="4" s="1"/>
  <c r="DO55" i="4" s="1"/>
  <c r="DO56" i="4" s="1"/>
  <c r="DP51" i="4" s="1"/>
  <c r="DP52" i="4" l="1"/>
  <c r="DP53" i="4" s="1"/>
  <c r="DP54" i="4" s="1"/>
  <c r="DP55" i="4" s="1"/>
  <c r="DP56" i="4" s="1"/>
  <c r="DQ51" i="4" s="1"/>
  <c r="DQ52" i="4" l="1"/>
  <c r="DQ53" i="4" s="1"/>
  <c r="DQ54" i="4" s="1"/>
  <c r="DQ55" i="4" s="1"/>
  <c r="DQ56" i="4" s="1"/>
  <c r="DR51" i="4" s="1"/>
  <c r="DR52" i="4" l="1"/>
  <c r="DR53" i="4" s="1"/>
  <c r="DR54" i="4" s="1"/>
  <c r="DR55" i="4" s="1"/>
  <c r="DR56" i="4" s="1"/>
  <c r="DS51" i="4" s="1"/>
  <c r="DS52" i="4" l="1"/>
  <c r="DS53" i="4" s="1"/>
  <c r="DS54" i="4" s="1"/>
  <c r="DS55" i="4" s="1"/>
  <c r="DS56" i="4" s="1"/>
  <c r="DT51" i="4" s="1"/>
  <c r="DT52" i="4" l="1"/>
  <c r="DT53" i="4" s="1"/>
  <c r="DT54" i="4" s="1"/>
  <c r="DT55" i="4" s="1"/>
  <c r="DT56" i="4" s="1"/>
  <c r="DU51" i="4" s="1"/>
  <c r="DU52" i="4" l="1"/>
  <c r="DU53" i="4" s="1"/>
  <c r="DU54" i="4" s="1"/>
  <c r="DU55" i="4" s="1"/>
  <c r="DU56" i="4" s="1"/>
  <c r="DV51" i="4" s="1"/>
  <c r="DV52" i="4" l="1"/>
  <c r="DV53" i="4" s="1"/>
  <c r="DV54" i="4" s="1"/>
  <c r="DV55" i="4" s="1"/>
  <c r="DV56" i="4" s="1"/>
  <c r="DW51" i="4" s="1"/>
  <c r="DW52" i="4" l="1"/>
  <c r="DW53" i="4" s="1"/>
  <c r="DW54" i="4" s="1"/>
  <c r="DW55" i="4" s="1"/>
  <c r="DW56" i="4" s="1"/>
  <c r="DX51" i="4" s="1"/>
  <c r="DX52" i="4" l="1"/>
  <c r="DX53" i="4" s="1"/>
  <c r="DX54" i="4" s="1"/>
  <c r="DX55" i="4" s="1"/>
  <c r="DX56" i="4" s="1"/>
  <c r="DY51" i="4" s="1"/>
  <c r="DY52" i="4" l="1"/>
  <c r="DY53" i="4" s="1"/>
  <c r="DY54" i="4" s="1"/>
  <c r="DY55" i="4" s="1"/>
  <c r="DY56" i="4" s="1"/>
  <c r="DZ51" i="4" s="1"/>
  <c r="DZ52" i="4" l="1"/>
  <c r="DZ53" i="4" s="1"/>
  <c r="DZ54" i="4" s="1"/>
  <c r="W61" i="4" l="1"/>
  <c r="E58" i="1" s="1"/>
  <c r="D102" i="1" s="1"/>
  <c r="D63" i="1" s="1"/>
  <c r="D64" i="1" s="1"/>
  <c r="D65" i="1" s="1"/>
  <c r="D66" i="1" s="1"/>
  <c r="D67" i="1" s="1"/>
  <c r="D68" i="1" s="1"/>
  <c r="D69" i="1" s="1"/>
  <c r="D70" i="1" s="1"/>
  <c r="D71" i="1" s="1"/>
  <c r="D72" i="1" s="1"/>
  <c r="D73" i="1" s="1"/>
  <c r="D74" i="1" s="1"/>
  <c r="D75" i="1" s="1"/>
  <c r="D76" i="1" s="1"/>
  <c r="D77" i="1" s="1"/>
  <c r="D78" i="1" s="1"/>
  <c r="D79" i="1" s="1"/>
  <c r="D80" i="1" s="1"/>
  <c r="D81" i="1" s="1"/>
  <c r="D82" i="1" s="1"/>
  <c r="D83" i="1" s="1"/>
  <c r="D84" i="1" s="1"/>
  <c r="D85" i="1" s="1"/>
  <c r="D86" i="1" s="1"/>
  <c r="D87" i="1" s="1"/>
  <c r="D88" i="1" s="1"/>
  <c r="D89" i="1" s="1"/>
  <c r="D90" i="1" s="1"/>
  <c r="D91" i="1" s="1"/>
  <c r="D92" i="1" s="1"/>
  <c r="D93" i="1" s="1"/>
  <c r="D94" i="1" s="1"/>
  <c r="D95" i="1" s="1"/>
  <c r="D96" i="1" s="1"/>
  <c r="D97" i="1" s="1"/>
  <c r="D98" i="1" s="1"/>
  <c r="D99" i="1" s="1"/>
  <c r="D100" i="1" s="1"/>
  <c r="D101" i="1" s="1"/>
  <c r="DZ55" i="4"/>
  <c r="DZ56" i="4" s="1"/>
  <c r="EA51" i="4" s="1"/>
  <c r="EA52" i="4" l="1"/>
  <c r="EA53" i="4" s="1"/>
  <c r="EA54" i="4" s="1"/>
  <c r="EA55" i="4" s="1"/>
  <c r="EA56" i="4" s="1"/>
  <c r="EB51" i="4" s="1"/>
  <c r="EB52" i="4" l="1"/>
  <c r="EB53" i="4" s="1"/>
  <c r="EB54" i="4" s="1"/>
  <c r="EB55" i="4" s="1"/>
  <c r="EB56" i="4" s="1"/>
  <c r="EC51" i="4" s="1"/>
  <c r="EC52" i="4" l="1"/>
  <c r="EC53" i="4" s="1"/>
  <c r="EC54" i="4" s="1"/>
  <c r="EC55" i="4" s="1"/>
  <c r="EC56" i="4" s="1"/>
  <c r="ED51" i="4" s="1"/>
  <c r="ED52" i="4" l="1"/>
  <c r="ED53" i="4" s="1"/>
  <c r="ED54" i="4" s="1"/>
  <c r="ED55" i="4" s="1"/>
  <c r="ED56" i="4" s="1"/>
  <c r="EE51" i="4" s="1"/>
  <c r="EE52" i="4" l="1"/>
  <c r="EE53" i="4" s="1"/>
  <c r="EE54" i="4" s="1"/>
  <c r="EE55" i="4" s="1"/>
  <c r="EE56" i="4" s="1"/>
  <c r="EF51" i="4" s="1"/>
  <c r="EF52" i="4" l="1"/>
  <c r="EF53" i="4" s="1"/>
  <c r="EF54" i="4" s="1"/>
  <c r="EF55" i="4" s="1"/>
  <c r="EF56" i="4" s="1"/>
  <c r="EG51" i="4" s="1"/>
  <c r="EG52" i="4" l="1"/>
  <c r="EG53" i="4" s="1"/>
  <c r="EG54" i="4" s="1"/>
  <c r="EG55" i="4" s="1"/>
  <c r="EG56" i="4" s="1"/>
  <c r="EH51" i="4" s="1"/>
  <c r="EH52" i="4" l="1"/>
  <c r="EH53" i="4" s="1"/>
  <c r="EH54" i="4" s="1"/>
  <c r="EH55" i="4" s="1"/>
  <c r="EH56" i="4" s="1"/>
  <c r="EI51" i="4" s="1"/>
  <c r="EI52" i="4" l="1"/>
  <c r="EI53" i="4" s="1"/>
  <c r="EI54" i="4" s="1"/>
  <c r="EI55" i="4" s="1"/>
  <c r="EI56" i="4" s="1"/>
  <c r="EJ51" i="4" s="1"/>
  <c r="EJ52" i="4" l="1"/>
  <c r="EJ53" i="4" s="1"/>
  <c r="EJ54" i="4" s="1"/>
  <c r="EJ55" i="4" s="1"/>
  <c r="EJ56" i="4" s="1"/>
  <c r="EK51" i="4" s="1"/>
  <c r="EK52" i="4" l="1"/>
  <c r="EK53" i="4" s="1"/>
  <c r="EK54" i="4" s="1"/>
  <c r="EK55" i="4" s="1"/>
  <c r="EK56" i="4" s="1"/>
  <c r="EL51" i="4" s="1"/>
  <c r="EL52" i="4" l="1"/>
  <c r="EL53" i="4" s="1"/>
  <c r="EL54" i="4" s="1"/>
  <c r="EL55" i="4" s="1"/>
  <c r="EL56" i="4" s="1"/>
  <c r="W59" i="4" s="1"/>
  <c r="M2" i="1" s="1"/>
  <c r="W60" i="4" l="1"/>
  <c r="E57" i="1" s="1"/>
  <c r="C102" i="1" s="1"/>
  <c r="C63" i="1" s="1"/>
  <c r="C64" i="1" s="1"/>
  <c r="C65" i="1" s="1"/>
  <c r="C66" i="1" s="1"/>
  <c r="C67" i="1" s="1"/>
  <c r="C68" i="1" s="1"/>
  <c r="C69" i="1" s="1"/>
  <c r="C70" i="1" s="1"/>
  <c r="C71" i="1" s="1"/>
  <c r="C72" i="1" s="1"/>
  <c r="C73" i="1" s="1"/>
  <c r="C74" i="1" s="1"/>
  <c r="C75" i="1" s="1"/>
  <c r="C76" i="1" s="1"/>
  <c r="C77" i="1" s="1"/>
  <c r="C78" i="1" s="1"/>
  <c r="C79" i="1" s="1"/>
  <c r="C80" i="1" s="1"/>
  <c r="C81" i="1" s="1"/>
  <c r="C82" i="1" s="1"/>
  <c r="C83" i="1" s="1"/>
  <c r="C84" i="1" s="1"/>
  <c r="C85" i="1" s="1"/>
  <c r="C86" i="1" s="1"/>
  <c r="C87" i="1" s="1"/>
  <c r="C88" i="1" s="1"/>
  <c r="C89" i="1" s="1"/>
  <c r="C90" i="1" s="1"/>
  <c r="C91" i="1" s="1"/>
  <c r="C92" i="1" s="1"/>
  <c r="C93" i="1" s="1"/>
  <c r="C94" i="1" s="1"/>
  <c r="C95" i="1" s="1"/>
  <c r="C96" i="1" s="1"/>
  <c r="C97" i="1" s="1"/>
  <c r="C98" i="1" s="1"/>
  <c r="C99" i="1" s="1"/>
  <c r="C100" i="1" s="1"/>
  <c r="C101" i="1" s="1"/>
</calcChain>
</file>

<file path=xl/comments1.xml><?xml version="1.0" encoding="utf-8"?>
<comments xmlns="http://schemas.openxmlformats.org/spreadsheetml/2006/main">
  <authors>
    <author>Raul Simonetti</author>
  </authors>
  <commentList>
    <comment ref="A519" authorId="0">
      <text>
        <r>
          <rPr>
            <b/>
            <sz val="8"/>
            <color indexed="81"/>
            <rFont val="Tahoma"/>
            <family val="2"/>
          </rPr>
          <t>Raul Simonetti:</t>
        </r>
        <r>
          <rPr>
            <sz val="8"/>
            <color indexed="81"/>
            <rFont val="Tahoma"/>
            <family val="2"/>
          </rPr>
          <t xml:space="preserve">
Simonetti 27-10-10</t>
        </r>
      </text>
    </comment>
    <comment ref="B519" authorId="0">
      <text>
        <r>
          <rPr>
            <b/>
            <sz val="8"/>
            <color indexed="81"/>
            <rFont val="Tahoma"/>
            <family val="2"/>
          </rPr>
          <t>Raul Simonetti:</t>
        </r>
        <r>
          <rPr>
            <sz val="8"/>
            <color indexed="81"/>
            <rFont val="Tahoma"/>
            <family val="2"/>
          </rPr>
          <t xml:space="preserve">
Simonetti 27-10-10</t>
        </r>
      </text>
    </comment>
    <comment ref="C519" authorId="0">
      <text>
        <r>
          <rPr>
            <b/>
            <sz val="8"/>
            <color indexed="81"/>
            <rFont val="Tahoma"/>
            <family val="2"/>
          </rPr>
          <t>Raul Simonetti:</t>
        </r>
        <r>
          <rPr>
            <sz val="8"/>
            <color indexed="81"/>
            <rFont val="Tahoma"/>
            <family val="2"/>
          </rPr>
          <t xml:space="preserve">
Simonetti 27-10-10</t>
        </r>
      </text>
    </comment>
    <comment ref="D519" authorId="0">
      <text>
        <r>
          <rPr>
            <b/>
            <sz val="8"/>
            <color indexed="81"/>
            <rFont val="Tahoma"/>
            <family val="2"/>
          </rPr>
          <t>Raul Simonetti:</t>
        </r>
        <r>
          <rPr>
            <sz val="8"/>
            <color indexed="81"/>
            <rFont val="Tahoma"/>
            <family val="2"/>
          </rPr>
          <t xml:space="preserve">
Simonetti 27-10-10</t>
        </r>
      </text>
    </comment>
    <comment ref="E519" authorId="0">
      <text>
        <r>
          <rPr>
            <b/>
            <sz val="8"/>
            <color indexed="81"/>
            <rFont val="Tahoma"/>
            <family val="2"/>
          </rPr>
          <t>Raul Simonetti:</t>
        </r>
        <r>
          <rPr>
            <sz val="8"/>
            <color indexed="81"/>
            <rFont val="Tahoma"/>
            <family val="2"/>
          </rPr>
          <t xml:space="preserve">
Simonetti 27-10-10</t>
        </r>
      </text>
    </comment>
    <comment ref="F519" authorId="0">
      <text>
        <r>
          <rPr>
            <b/>
            <sz val="8"/>
            <color indexed="81"/>
            <rFont val="Tahoma"/>
            <family val="2"/>
          </rPr>
          <t>Raul Simonetti:</t>
        </r>
        <r>
          <rPr>
            <sz val="8"/>
            <color indexed="81"/>
            <rFont val="Tahoma"/>
            <family val="2"/>
          </rPr>
          <t xml:space="preserve">
Simonetti 27-10-10</t>
        </r>
      </text>
    </comment>
    <comment ref="G519" authorId="0">
      <text>
        <r>
          <rPr>
            <b/>
            <sz val="8"/>
            <color indexed="81"/>
            <rFont val="Tahoma"/>
            <family val="2"/>
          </rPr>
          <t>Raul Simonetti:</t>
        </r>
        <r>
          <rPr>
            <sz val="8"/>
            <color indexed="81"/>
            <rFont val="Tahoma"/>
            <family val="2"/>
          </rPr>
          <t xml:space="preserve">
Simonetti 27-10-10</t>
        </r>
      </text>
    </comment>
    <comment ref="H519" authorId="0">
      <text>
        <r>
          <rPr>
            <b/>
            <sz val="8"/>
            <color indexed="81"/>
            <rFont val="Tahoma"/>
            <family val="2"/>
          </rPr>
          <t>Raul Simonetti:</t>
        </r>
        <r>
          <rPr>
            <sz val="8"/>
            <color indexed="81"/>
            <rFont val="Tahoma"/>
            <family val="2"/>
          </rPr>
          <t xml:space="preserve">
Simonetti 27-10-10</t>
        </r>
      </text>
    </comment>
  </commentList>
</comments>
</file>

<file path=xl/comments2.xml><?xml version="1.0" encoding="utf-8"?>
<comments xmlns="http://schemas.openxmlformats.org/spreadsheetml/2006/main">
  <authors>
    <author>Sofia Coin</author>
  </authors>
  <commentList>
    <comment ref="W256" authorId="0">
      <text>
        <r>
          <rPr>
            <b/>
            <sz val="9"/>
            <color indexed="81"/>
            <rFont val="Tahoma"/>
            <family val="2"/>
          </rPr>
          <t>Sofia Coin:</t>
        </r>
        <r>
          <rPr>
            <sz val="9"/>
            <color indexed="81"/>
            <rFont val="Tahoma"/>
            <family val="2"/>
          </rPr>
          <t xml:space="preserve">
old formula
</t>
        </r>
      </text>
    </comment>
    <comment ref="W257" authorId="0">
      <text>
        <r>
          <rPr>
            <b/>
            <sz val="9"/>
            <color indexed="81"/>
            <rFont val="Tahoma"/>
            <family val="2"/>
          </rPr>
          <t>Sofia Coin:</t>
        </r>
        <r>
          <rPr>
            <sz val="9"/>
            <color indexed="81"/>
            <rFont val="Tahoma"/>
            <family val="2"/>
          </rPr>
          <t xml:space="preserve">
old formula
</t>
        </r>
      </text>
    </comment>
  </commentList>
</comments>
</file>

<file path=xl/comments3.xml><?xml version="1.0" encoding="utf-8"?>
<comments xmlns="http://schemas.openxmlformats.org/spreadsheetml/2006/main">
  <authors>
    <author>Sofia Coin</author>
    <author>Raul Simonetti</author>
  </authors>
  <commentList>
    <comment ref="M20" authorId="0">
      <text>
        <r>
          <rPr>
            <b/>
            <sz val="9"/>
            <color indexed="81"/>
            <rFont val="Tahoma"/>
            <family val="2"/>
          </rPr>
          <t>Sofia Coin:</t>
        </r>
        <r>
          <rPr>
            <sz val="9"/>
            <color indexed="81"/>
            <rFont val="Tahoma"/>
            <family val="2"/>
          </rPr>
          <t xml:space="preserve">
we consider 10% more on the absorption distance
</t>
        </r>
      </text>
    </comment>
    <comment ref="AG48" authorId="1">
      <text>
        <r>
          <rPr>
            <b/>
            <sz val="8"/>
            <color indexed="81"/>
            <rFont val="Tahoma"/>
            <family val="2"/>
          </rPr>
          <t>Raul Simonetti:</t>
        </r>
        <r>
          <rPr>
            <sz val="8"/>
            <color indexed="81"/>
            <rFont val="Tahoma"/>
            <family val="2"/>
          </rPr>
          <t xml:space="preserve">
Simonetti 27-10-10</t>
        </r>
      </text>
    </comment>
    <comment ref="AG49" authorId="1">
      <text>
        <r>
          <rPr>
            <b/>
            <sz val="8"/>
            <color indexed="81"/>
            <rFont val="Tahoma"/>
            <family val="2"/>
          </rPr>
          <t>Raul Simonetti:</t>
        </r>
        <r>
          <rPr>
            <sz val="8"/>
            <color indexed="81"/>
            <rFont val="Tahoma"/>
            <family val="2"/>
          </rPr>
          <t xml:space="preserve">
Simonetti 27-10-10</t>
        </r>
      </text>
    </comment>
  </commentList>
</comments>
</file>

<file path=xl/comments4.xml><?xml version="1.0" encoding="utf-8"?>
<comments xmlns="http://schemas.openxmlformats.org/spreadsheetml/2006/main">
  <authors>
    <author>Raul Simonetti</author>
  </authors>
  <commentList>
    <comment ref="AG48" authorId="0">
      <text>
        <r>
          <rPr>
            <b/>
            <sz val="8"/>
            <color indexed="81"/>
            <rFont val="Tahoma"/>
            <family val="2"/>
          </rPr>
          <t>Raul Simonetti:</t>
        </r>
        <r>
          <rPr>
            <sz val="8"/>
            <color indexed="81"/>
            <rFont val="Tahoma"/>
            <family val="2"/>
          </rPr>
          <t xml:space="preserve">
Simonetti 27-10-10</t>
        </r>
      </text>
    </comment>
    <comment ref="AG49" authorId="0">
      <text>
        <r>
          <rPr>
            <b/>
            <sz val="8"/>
            <color indexed="81"/>
            <rFont val="Tahoma"/>
            <family val="2"/>
          </rPr>
          <t>Raul Simonetti:</t>
        </r>
        <r>
          <rPr>
            <sz val="8"/>
            <color indexed="81"/>
            <rFont val="Tahoma"/>
            <family val="2"/>
          </rPr>
          <t xml:space="preserve">
Simonetti 27-10-10</t>
        </r>
      </text>
    </comment>
  </commentList>
</comments>
</file>

<file path=xl/comments5.xml><?xml version="1.0" encoding="utf-8"?>
<comments xmlns="http://schemas.openxmlformats.org/spreadsheetml/2006/main">
  <authors>
    <author>Diego Guidolin</author>
    <author>Sofia Coin</author>
  </authors>
  <commentList>
    <comment ref="Y1" authorId="0">
      <text>
        <r>
          <rPr>
            <b/>
            <sz val="9"/>
            <color indexed="81"/>
            <rFont val="Tahoma"/>
            <family val="2"/>
          </rPr>
          <t>Diego Guidolin:</t>
        </r>
        <r>
          <rPr>
            <sz val="9"/>
            <color indexed="81"/>
            <rFont val="Tahoma"/>
            <family val="2"/>
          </rPr>
          <t xml:space="preserve">
numero uscite umidificatore
</t>
        </r>
      </text>
    </comment>
    <comment ref="AA1" authorId="1">
      <text>
        <r>
          <rPr>
            <b/>
            <sz val="9"/>
            <color indexed="81"/>
            <rFont val="Tahoma"/>
            <family val="2"/>
          </rPr>
          <t>Sofia Coin:</t>
        </r>
        <r>
          <rPr>
            <sz val="9"/>
            <color indexed="81"/>
            <rFont val="Tahoma"/>
            <family val="2"/>
          </rPr>
          <t xml:space="preserve">
Portata dell'umidificatore</t>
        </r>
      </text>
    </comment>
    <comment ref="I23" authorId="1">
      <text>
        <r>
          <rPr>
            <b/>
            <sz val="9"/>
            <color indexed="81"/>
            <rFont val="Tahoma"/>
            <family val="2"/>
          </rPr>
          <t>Sofia Coin:</t>
        </r>
        <r>
          <rPr>
            <sz val="9"/>
            <color indexed="81"/>
            <rFont val="Tahoma"/>
            <family val="2"/>
          </rPr>
          <t xml:space="preserve">
inserisco un valore fittizio (=200), in modo che non venga selezionato come possibile soluzione</t>
        </r>
      </text>
    </comment>
    <comment ref="O23"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S23" authorId="1">
      <text>
        <r>
          <rPr>
            <b/>
            <sz val="9"/>
            <color indexed="81"/>
            <rFont val="Tahoma"/>
            <family val="2"/>
          </rPr>
          <t>Sofia Coin:</t>
        </r>
        <r>
          <rPr>
            <sz val="9"/>
            <color indexed="81"/>
            <rFont val="Tahoma"/>
            <family val="2"/>
          </rPr>
          <t xml:space="preserve">
SE il diametro di uscita dell'umidificatore è 40, ma il match con 2 DP consente di usare DP di diamtero 30, significa che uso un raccordo 30,40,40.
se l'umidificatore ha una uscita diametro 40, e consente il match con 2 ucite 40 40, allora c'è un raccordo 40,40,40
</t>
        </r>
      </text>
    </comment>
    <comment ref="O24"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O25"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O26"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O27"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O28"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O29"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O30"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O31"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O32"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O33"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O34"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O35"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O36"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O37"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J38" authorId="1">
      <text>
        <r>
          <rPr>
            <b/>
            <sz val="9"/>
            <color indexed="81"/>
            <rFont val="Tahoma"/>
            <family val="2"/>
          </rPr>
          <t>Sofia Coin:</t>
        </r>
        <r>
          <rPr>
            <sz val="9"/>
            <color indexed="81"/>
            <rFont val="Tahoma"/>
            <family val="2"/>
          </rPr>
          <t xml:space="preserve">
test per eccezione UE035, che è l'unico codice che può usare entrambi i raccordi
</t>
        </r>
      </text>
    </comment>
    <comment ref="O38"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O39"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O40"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O41"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O42"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O43"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O44"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Q44" authorId="1">
      <text>
        <r>
          <rPr>
            <b/>
            <sz val="9"/>
            <color indexed="81"/>
            <rFont val="Tahoma"/>
            <family val="2"/>
          </rPr>
          <t>Sofia Coin:</t>
        </r>
        <r>
          <rPr>
            <sz val="9"/>
            <color indexed="81"/>
            <rFont val="Tahoma"/>
            <family val="2"/>
          </rPr>
          <t xml:space="preserve">
Con questa colonna controllo che non ci sia già un match con 2 DP.
Es. UR060 ha un match con 2 DP, cod. DP105D4R=; se non inserisco questa colonna, mi darebbe che ha un match anche con 4 DP dello stesso codice; invece non è così. </t>
        </r>
      </text>
    </comment>
    <comment ref="O45"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O46"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O47"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O48"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O49"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O50"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O51"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O52"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O53"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O54"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O55"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O56"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O57"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O58"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O59"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O60"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O61"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O62"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O63"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 ref="O64" authorId="1">
      <text>
        <r>
          <rPr>
            <b/>
            <sz val="9"/>
            <color indexed="81"/>
            <rFont val="Tahoma"/>
            <family val="2"/>
          </rPr>
          <t xml:space="preserve">Sofia
Controllo se il numero di uscite dell'umidificatore è maggiore del numero di DP
se 0 il numero di uscite dell'umidificatore è uguale o maggiore al numero di DP, quindi non serve un raccirdi
</t>
        </r>
      </text>
    </comment>
  </commentList>
</comments>
</file>

<file path=xl/sharedStrings.xml><?xml version="1.0" encoding="utf-8"?>
<sst xmlns="http://schemas.openxmlformats.org/spreadsheetml/2006/main" count="6036" uniqueCount="3537">
  <si>
    <t>heaterSteam 40 kg/h , 230Vac 3~, ON/OFF or proportional, basic version</t>
  </si>
  <si>
    <t>heaterSteam 40 kg/h, 230V 3~, ON/OFF o proporzionale, versione full optional</t>
  </si>
  <si>
    <t>heaterSteam 40 kg/h , 230Vac 3~, ON/OFF or proportional, full optional version</t>
  </si>
  <si>
    <t>heaterSteam 60 kg/h, 230V 3~, ON/OFF o proporzionale, versione base</t>
  </si>
  <si>
    <t>heaterSteam 60 kg/h , 230Vac 3~, ON/OFF or proportional, basic version</t>
  </si>
  <si>
    <t>heaterSteam 60 kg/h, 230V 3~, ON/OFF o proporzionale, versione full optional</t>
  </si>
  <si>
    <t>heaterSteam 60 kg/h , 230Vac 3~, ON/OFF or proportional, full optional version</t>
  </si>
  <si>
    <t>heaterSteam 6 kg/h, 460V 3~, ON/OFF o proporzionale, versione base</t>
  </si>
  <si>
    <t>heaterSteam 6 kg/h , 460Vac 3~, ON/OFF or proportional, basic version</t>
  </si>
  <si>
    <t>heaterSteam 6 kg/h, 460V 3~, ON/OFF o proporzionale, versione full optional</t>
  </si>
  <si>
    <t>heaterSteam 6 kg/h , 460Vac 3~, ON/OFF or proportional, full optional version</t>
  </si>
  <si>
    <t>heaterSteam 10 kg/h, 460V 3~, ON/OFF o proporzionale, versione base</t>
  </si>
  <si>
    <t>heaterSteam 10 kg/h , 460Vac 3~, ON/OFF or proportional, basic version</t>
  </si>
  <si>
    <t>heaterSteam 10 kg/h, 460V 3~, ON/OFF o proporzionale, versione full optional</t>
  </si>
  <si>
    <t>heaterSteam 10 kg/h , 460Vac 3~, ON/OFF or proportional, full optional version</t>
  </si>
  <si>
    <t>heaterSteam 20 kg/h, 460V 3~, ON/OFF o proporzionale, versione base</t>
  </si>
  <si>
    <t>heaterSteam 20 kg/h , 460Vac 3~, ON/OFF or proportional, basic version</t>
  </si>
  <si>
    <t>heaterSteam 20 kg/h, 460V 3~, ON/OFF o proporzionale, versione full optional</t>
  </si>
  <si>
    <t>heaterSteam 20 kg/h , 460Vac 3~, ON/OFF or proportional, full optional version</t>
  </si>
  <si>
    <t>heaterSteam 27 kg/h, 460V 3~, ON/OFF o proporzionale, versione base</t>
  </si>
  <si>
    <t>heaterSteam 27 kg/h , 460Vac 3~, ON/OFF or proportional, basic version</t>
  </si>
  <si>
    <t>humiSteam Basic 35 kg/h, 575V 3~, EIN/AUS-Betrieb oder proportional Regelung, Einweg-Dampfzylinder</t>
  </si>
  <si>
    <t>humiSteam Basic 35 kg/h, 208V 3~, EIN/AUS-Betrieb oder proportional Regelung, Einweg-Dampfzylinder</t>
  </si>
  <si>
    <t>C01</t>
  </si>
  <si>
    <t>humiSteam Basic 10 kg/h, 400V 3~, EIN/AUS-Betrieb oder proportional Regelung, Reinigungsfähig-Dampfzylinder</t>
  </si>
  <si>
    <t>humiSteam X-plus 130 kg/h, 400V 3~, regolazione integrata, cilindro non apribile</t>
  </si>
  <si>
    <t>humiSteam X-plus 18 kg/h, 400Vac 3~, avec régulateur, cylindre ouvrant</t>
  </si>
  <si>
    <t>humiSteam X-plus 18 kg/h, 460Vac 3~, avec régulateur, cylindre non ouvrant</t>
  </si>
  <si>
    <t>humiSteam X-plus 18 kg/h, 460Vac 3~, avec régulateur, cylindre ouvrant</t>
  </si>
  <si>
    <t>humiSteam X-plus 18 kg/h, 575Vac 3~, avec régulateur, cylindre non ouvrant</t>
  </si>
  <si>
    <t>humiSteam X-plus 18 kg/h, 575Vac 3~, avec régulateur, cylindre ouvrant</t>
  </si>
  <si>
    <t>humiSteam X-plus 25 kg/h, 230Vac 3~, avec régulateur, cylindre non ouvrant</t>
  </si>
  <si>
    <t>humiSteam X-plus 25 kg/h, 230Vac 3~, avec régulateur, cylindre ouvrant</t>
  </si>
  <si>
    <t>humiSteam X-plus 25 kg/h, 400Vac 3~, avec régulateur, cylindre non ouvrant</t>
  </si>
  <si>
    <t>humiSteam X-plus 25 kg/h, 400Vac 3~, avec régulateur, cylindre ouvrant</t>
  </si>
  <si>
    <t>humiSteam X-plus 25 kg/h, 460Vac 3~, avec régulateur, cylindre non ouvrant</t>
  </si>
  <si>
    <t>humiSteam X-plus 25 kg/h, 460Vac 3~, avec régulateur, cylindre ouvrant</t>
  </si>
  <si>
    <t>humiSteam X-plus 25 kg/h, 575Vac 3~, avec régulateur, cylindre non ouvrant</t>
  </si>
  <si>
    <t>humiSteam X-plus 25 kg/h, 575Vac 3~, avec régulateur, cylindre ouvrant</t>
  </si>
  <si>
    <t>humiSteam X-plus 25 kg/h, 208Vac 3~, avec régulateur, cylindre non ouvrant</t>
  </si>
  <si>
    <t>humiSteam X-plus 25 kg/h, 208Vac 3~, avec régulateur, cylindre ouvrant</t>
  </si>
  <si>
    <t>humiSteam X-plus 35 kg/h, 230Vac 3~, avec régulateur, cylindre non ouvrant</t>
  </si>
  <si>
    <t>humiSteam X-plus 35 kg/h, 230Vac 3~, avec régulateur, cylindre ouvrant</t>
  </si>
  <si>
    <t>humiSteam X-plus 35 kg/h, 400Vac 3~, avec régulateur, cylindre non ouvrant</t>
  </si>
  <si>
    <t>humiSteam X-plus 35 kg/h, 400Vac 3~, avec régulateur, cylindre ouvrant</t>
  </si>
  <si>
    <t>humiSteam X-plus 35 kg/h, 460Vac 3~, avec régulateur, cylindre non ouvrant</t>
  </si>
  <si>
    <t>humiSteam X-plus 35 kg/h, 460Vac 3~, avec régulateur, cylindre ouvrant</t>
  </si>
  <si>
    <t>humiSteam X-plus 35 kg/h, 575Vac 3~, avec régulateur, cylindre non ouvrant</t>
  </si>
  <si>
    <t>humiSteam X-plus 35 kg/h, 575Vac 3~, avec régulateur, cylindre ouvrant</t>
  </si>
  <si>
    <t>humiSteam X-plus 35 kg/h, 208Vac 3~, avec régulateur, cylindre non ouvrant</t>
  </si>
  <si>
    <t>humiSteam X-plus 35 kg/h, 208Vac 3~, avec régulateur, cylindre ouvrant</t>
  </si>
  <si>
    <t>humiSteam X-plus 45 kg/h, 230Vac 3~, avec régulateur, cylindre non ouvrant</t>
  </si>
  <si>
    <t>humiSteam X-plus 45 kg/h, 230Vac 3~, avec régulateur, cylindre ouvrant</t>
  </si>
  <si>
    <t>humiSteam X-plus 45 kg/h, 400Vac 3~, avec régulateur, cylindre non ouvrant</t>
  </si>
  <si>
    <t>humiSteam X-plus 45 kg/h, 400Vac 3~, avec régulateur, cylindre ouvrant</t>
  </si>
  <si>
    <t>humiSteam X-plus 45 kg/h, 460Vac 3~, avec régulateur, cylindre non ouvrant</t>
  </si>
  <si>
    <t>humiSteam X-plus 45 kg/h, 460Vac 3~, avec régulateur, cylindre ouvrant</t>
  </si>
  <si>
    <t>humiSteam X-plus 45 kg/h, 575Vac 3~, avec régulateur, cylindre non ouvrant</t>
  </si>
  <si>
    <t>humiSteam X-plus 45 kg/h, 575Vac 3~, avec régulateur, cylindre ouvrant</t>
  </si>
  <si>
    <t>humiSteam X-plus 45 kg/h, 208Vac 3~, avec régulateur, cylindre non ouvrant</t>
  </si>
  <si>
    <t>humiSteam X-plus 45 kg/h, 208Vac 3~, avec régulateur, cylindre ouvrant</t>
  </si>
  <si>
    <t>humiSteam X-plus 65 kg/h, 400Vac 3~, avec régulateur, cylindre non ouvrant</t>
  </si>
  <si>
    <t>humiSteam X-plus 65 kg/h, 400Vac 3~, avec régulateur, cylindre ouvrant</t>
  </si>
  <si>
    <t>humiSteam X-plus 65 kg/h, 460Vac 3~, avec régulateur, cylindre non ouvrant</t>
  </si>
  <si>
    <t>humiSteam X-plus 65 kg/h, 460Vac 3~, avec régulateur, cylindre ouvrant</t>
  </si>
  <si>
    <t>humiSteam X-plus 65 kg/h, 575Vac 3~, avec régulateur, cylindre non ouvrant</t>
  </si>
  <si>
    <t>humiSteam X-plus 65 kg/h, 575Vac 3~, avec régulateur, cylindre ouvrant</t>
  </si>
  <si>
    <t>humiSteam X-plus 90 kg/h, 400Vac 3~, avec régulateur, cylindre non ouvrant</t>
  </si>
  <si>
    <t>humiSteam X-plus 90 kg/h, 400Vac 3~, avec régulateur, cylindre ouvrant</t>
  </si>
  <si>
    <t>humiSteam X-plus 90 kg/h, 460Vac 3~, avec régulateur, cylindre non ouvrant</t>
  </si>
  <si>
    <t>humiSteam X-plus 90 kg/h, 460Vac 3~, avec régulateur, cylindre ouvrant</t>
  </si>
  <si>
    <t>humiSteam X-plus 90 kg/h, 575Vac 3~, avec régulateur, cylindre non ouvrant</t>
  </si>
  <si>
    <t>humiSteam X-plus 90 kg/h, 575Vac 3~, avec régulateur, cylindre ouvrant</t>
  </si>
  <si>
    <t>humiSteam X-plus 130 kg/h, 400Vac 3~, avec régulateur, cylindre non ouvrant</t>
  </si>
  <si>
    <t>humiSteam X-plus 130 kg/h, 400Vac 3~, avec régulateur, cylindre ouvrant</t>
  </si>
  <si>
    <t>humiSteam X-plus 130 kg/h, 460Vac 3~, avec régulateur, cylindre non ouvrant</t>
  </si>
  <si>
    <t>humiSteam X-plus 130 kg/h, 460Vac 3~, avec régulateur, cylindre ouvrant</t>
  </si>
  <si>
    <t>humiSteam X-plus 130 kg/h, 575Vac 3~, avec régulateur, cylindre non ouvrant</t>
  </si>
  <si>
    <t>humiSteam X-plus 130 kg/h, 575Vac 3~, avec régulateur, cylindre ouvrant</t>
  </si>
  <si>
    <t>humiSteam Basic 15 kg/h, 230V 3~, ON/OFF or proportional, disposable cylinder</t>
  </si>
  <si>
    <t>humiSteam Basic 25 kg/h, 230V 3~,  ON/OFF o proporzionale, cilindro non apribile</t>
  </si>
  <si>
    <t>humiSteam Basic 25 kg/h, 230V 3~, ON/OFF or proportional, disposable cylinder</t>
  </si>
  <si>
    <t>humiSteam Basic 35 kg/h, 230V 3~,  ON/OFF o proporzionale, cilindro non apribile</t>
  </si>
  <si>
    <t>humiSteam Basic 35 kg/h, 230V 3~, ON/OFF or proportional, disposable cylinder</t>
  </si>
  <si>
    <t>humiSteam Basic 45 kg/h, 230V 3~,  ON/OFF o proporzionale, cilindro non apribile</t>
  </si>
  <si>
    <t>humiSteam Basic 45 kg/h, 230V 3~, ON/OFF or proportional, disposable cylinder</t>
  </si>
  <si>
    <t>Unità di misura e limiti</t>
  </si>
  <si>
    <t>mm</t>
  </si>
  <si>
    <t>g/kg</t>
  </si>
  <si>
    <t>m/sec</t>
  </si>
  <si>
    <t>°C</t>
  </si>
  <si>
    <t>m^3/h</t>
  </si>
  <si>
    <t>bar</t>
  </si>
  <si>
    <t>Hz</t>
  </si>
  <si>
    <t>RPM</t>
  </si>
  <si>
    <t>PRM</t>
  </si>
  <si>
    <t>rH</t>
  </si>
  <si>
    <t>heaterSteam 60 kg/h , 575Vac 3~, ON/OFF ou proportionnel, version de base</t>
  </si>
  <si>
    <t>heaterSteam 60 kg/h , 208Vac 3~, ON/OFF ou proportionnel, version de base</t>
  </si>
  <si>
    <t>heaterSteam 60 kg/h , 230Vac 3~, avec régulateur, version de base</t>
  </si>
  <si>
    <t>heaterSteam 6 kg/h , 230Vac 1~, EIN/AUS-Betrieb oder proportional Regelung, Vollversion</t>
  </si>
  <si>
    <t>heaterSteam 6 kg/h , 230Vac 3~, EIN/AUS-Betrieb oder proportional Regelung, Vollversion</t>
  </si>
  <si>
    <t>La longueur de la rampe est plus grande que la largeur de la gaine</t>
  </si>
  <si>
    <t>Le débit de vapeur de l'humidificateur est plus grand que la capacité maximum des rampes</t>
  </si>
  <si>
    <t>Description en français</t>
  </si>
  <si>
    <t>Rampe distribution de vapeur Inox, int. Ø=22 mm, l = 350 mm</t>
  </si>
  <si>
    <t>Rampe distribution de vapeur Inox, int. Ø=22 mm, l = 450 mm</t>
  </si>
  <si>
    <t>Rampe distribution de vapeur Inox, int. Ø=22 mm, l = 600 mm</t>
  </si>
  <si>
    <t>Rampe distribution de vapeur Inox, int.  Ø=22 mm, l = 850 mm</t>
  </si>
  <si>
    <t>Rampe distribution de vapeur Inox, int.  Ø=30 mm, l = 350 mm</t>
  </si>
  <si>
    <t>Rampe distribution de vapeur Inox, int.  Ø=30 mm, l = 450 mm</t>
  </si>
  <si>
    <t>Rampe distribution de vapeur Inox, int.  Ø=30 mm, l = 600 mm</t>
  </si>
  <si>
    <t>Rampe distribution de vapeur Inox, int.  Ø=30 mm, l = 850 mm</t>
  </si>
  <si>
    <t>Rampe distribution de vapeur Inox, int.  Ø=30 mm, l = 1,050 mm</t>
  </si>
  <si>
    <t>Rampe distribution de vapeur Inox, int.  Ø=30 mm, l = 1,250 mm</t>
  </si>
  <si>
    <t>Rampe distribution de vapeur Inox, int.  Ø=30 mm, l = 1.650 mm</t>
  </si>
  <si>
    <t>Rampe distribution de vapeur Inox, int.  Ø=40 mm, l = 850 mm</t>
  </si>
  <si>
    <t>Rampe distribution de vapeur Inox, int.  Ø=40 mm, l = 1,050 mm</t>
  </si>
  <si>
    <t>Rampe distribution de vapeur Inox, int.  Ø=40 mm, l = 1,250 mm</t>
  </si>
  <si>
    <t>Rampe distribution de vapeur Inox, int.  Ø=40 mm, l = 1,650 mm</t>
  </si>
  <si>
    <t>Rampe distribution de vapeur Inox, int.  Ø=40 mm, l = 2,050 mm</t>
  </si>
  <si>
    <t>Rampe distribution de vapeur Inox, int. Ø=22 mm, l = 300 mm</t>
  </si>
  <si>
    <t>Rampe distribution de vapeur Inox, int.  Ø=30 mm, l = 300 mm</t>
  </si>
  <si>
    <t>Rampe distribution de vapeur Inox, int.  Ø=40 mm, l = 600 mm</t>
  </si>
  <si>
    <t>SDP OEM: buse injection de vapeur jusqu'à 3 kg/h</t>
  </si>
  <si>
    <t>SDP OEM: buse injection de vapeur de 3 à 15 kg/h</t>
  </si>
  <si>
    <t>SDP OEM: buse injection de vapeur non percée</t>
  </si>
  <si>
    <t>Raccord ‘Y’ pour flexible vapeur (de 1x Ø=40 mm à 2x Ø=30 mm)</t>
  </si>
  <si>
    <t>Raccord ‘Y’ pour flexible vapeur (de 1x Ø=40 mm à 2x Ø=40 mm)</t>
  </si>
  <si>
    <t>Flexible vapeur renforcé Ø=22 mm (par mètre)</t>
  </si>
  <si>
    <t>Flexible vapeur renforcé Ø=30 mm (par mètre)</t>
  </si>
  <si>
    <t>Flexible vapeur renforcé Ø=40 mm (par mètre)</t>
  </si>
  <si>
    <t xml:space="preserve">Flexible alimentation eau l = 1.5 m avec raccord 3/4”  </t>
  </si>
  <si>
    <t xml:space="preserve">Flexible alimentation eau l = 3 m avec raccord 3/4”  </t>
  </si>
  <si>
    <t>Flexible alimentation eau avec clapet (inclus sur UE065 à UE130)</t>
  </si>
  <si>
    <t>SFC 006: flexible condensas Ø=7 mm (par mètre)</t>
  </si>
  <si>
    <t>flexible condensas Ø=10 mm (par mètre)</t>
  </si>
  <si>
    <t>heaterSteam 4 kg/h , 230Vac 1~, ON/OFF or proportional, full optional version</t>
  </si>
  <si>
    <t>heaterSteam 4 kg/h, 230V 1~, ON/OFF o proporzionale, versione full optional</t>
  </si>
  <si>
    <t>heaterSteam 6 kg/h , 230Vac 1~, ON/OFF or proportional, basic version</t>
  </si>
  <si>
    <t>heaterSteam 6 kg/h, 230V 1~, ON/OFF o proporzionale, versione base</t>
  </si>
  <si>
    <t>heaterSteam 6 kg/h , 230Vac 1~, ON/OFF or proportional, full optional version</t>
  </si>
  <si>
    <t>heaterSteam 6 kg/h, 230V 1~, ON/OFF o proporzionale, versione full optional</t>
  </si>
  <si>
    <t>heaterSteam 6 kg/h , 400Vac 3~, ON/OFF or proportional, basic version</t>
  </si>
  <si>
    <t>heaterSteam 6 kg/h, 400V 3~, ON/OFF o proporzionale, versione base</t>
  </si>
  <si>
    <t>heaterSteam 6 kg/h , 400Vac 3~, ON/OFF or proportional, full optional version</t>
  </si>
  <si>
    <t>heaterSteam 6 kg/h, 400V 3~, ON/OFF o proporzionale, versione full optional</t>
  </si>
  <si>
    <t>heaterSteam 10 kg/h , 400Vac 3~, ON/OFF or proportional, basic version</t>
  </si>
  <si>
    <t>heaterSteam 10 kg/h, 400V 3~, ON/OFF o proporzionale, versione base</t>
  </si>
  <si>
    <t>heaterSteam 10 kg/h , 400Vac 3~, ON/OFF or proportional, full optional version</t>
  </si>
  <si>
    <t>heaterSteam 10 kg/h, 400V 3~, ON/OFF o proporzionale, versione full optional</t>
  </si>
  <si>
    <t>heaterSteam 20 kg/h , 400Vac 3~, ON/OFF or proportional, full optional version</t>
  </si>
  <si>
    <t>heaterSteam 20 kg/h, 400V 3~, ON/OFF o proporzionale, versione full optional</t>
  </si>
  <si>
    <t>heaterSteam 10 kg/h , 575Vac 3~, ON/OFF or proportional, full optional version</t>
  </si>
  <si>
    <t>heaterSteam 20 kg/h, 575V 3~, ON/OFF o proporzionale, versione base</t>
  </si>
  <si>
    <t>heaterSteam 20 kg/h , 575Vac 3~, ON/OFF or proportional, basic version</t>
  </si>
  <si>
    <t>heaterSteam 20 kg/h, 575V 3~, ON/OFF o proporzionale, versione full optional</t>
  </si>
  <si>
    <t>heaterSteam 20 kg/h , 575Vac 3~, ON/OFF or proportional, full optional version</t>
  </si>
  <si>
    <t>heaterSteam 27 kg/h, 575V 3~, ON/OFF o proporzionale, versione base</t>
  </si>
  <si>
    <t>heaterSteam 27 kg/h , 575Vac 3~, ON/OFF or proportional, basic version</t>
  </si>
  <si>
    <t>heaterSteam 27 kg/h, 575V 3~, ON/OFF o proporzionale, versione full optional</t>
  </si>
  <si>
    <t>heaterSteam 27 kg/h , 575Vac 3~, ON/OFF or proportional, full optional version</t>
  </si>
  <si>
    <t>heaterSteam 40 kg/h, 575V 3~, ON/OFF o proporzionale, versione base</t>
  </si>
  <si>
    <t>heaterSteam 40 kg/h , 575Vac 3~, ON/OFF or proportional, basic version</t>
  </si>
  <si>
    <t>heaterSteam 40 kg/h, 575V 3~, ON/OFF o proporzionale, versione full optional</t>
  </si>
  <si>
    <t>heaterSteam 40 kg/h , 575Vac 3~, ON/OFF or proportional, full optional version</t>
  </si>
  <si>
    <t>heaterSteam 60 kg/h, 575V 3~, ON/OFF o proporzionale, versione base</t>
  </si>
  <si>
    <t>ATTENZIONE: la portata di vapore indicata genera condensazione</t>
  </si>
  <si>
    <t>humiSteam Basic 45 kg/h, 575V 3~, ON/OFF ou proportionnel, cylindre ouvrant</t>
  </si>
  <si>
    <t>humiSteam Basic 45 kg/h, 208V 3~, ON/OFF ou proportionnel, cylindre ouvrant</t>
  </si>
  <si>
    <t>humiSteam Basic 65 kg/h, 400V 3~, ON/OFF ou proportionnel, cylindre ouvrant</t>
  </si>
  <si>
    <t>humiSteam Basic 65 kg/h, 460V 3~, ON/OFF ou proportionnel, cylindre ouvrant</t>
  </si>
  <si>
    <t>humiSteam Basic 65 kg/h, 575V 3~, ON/OFF ou proportionnel, cylindre ouvrant</t>
  </si>
  <si>
    <t>humiSteam X-plus 1,5 kg/h, 230Vac 1~, avec régulateur, cylindre non ouvrant</t>
  </si>
  <si>
    <t>humiSteam X-plus 1,5 kg/h, 230Vac 1~, avec régulateur, cylindre ouvrant</t>
  </si>
  <si>
    <t>humiSteam X-plus 1,5 kg/h, 208Vac 1~, avec régulateur, cylindre non ouvrant</t>
  </si>
  <si>
    <t>humiSteam X-plus 1,5 kg/h, 208Vac 1~, avec régulateur, cylindre ouvrant</t>
  </si>
  <si>
    <t>humiSteam X-plus 3 kg/h, 230Vac 1~, avec régulateur, cylindre non ouvrant</t>
  </si>
  <si>
    <t>humiSteam X-plus 3 kg/h, 230Vac 1~, avec régulateur, cylindre ouvrant</t>
  </si>
  <si>
    <t>humiSteam Basic 15 kg/h, 208V 3~, ON/OFF or proportional, cleanable cylinder</t>
  </si>
  <si>
    <t>humiSteam Basic 25 kg/h, 208V 3~, ON/OFF or proportional, cleanable cylinder</t>
  </si>
  <si>
    <t>humiSteam Basic 35 kg/h, 208V 3~, ON/OFF or proportional, cleanable cylinder</t>
  </si>
  <si>
    <t xml:space="preserve">The humidification distance is calculated using the work of Gundacker </t>
  </si>
  <si>
    <t>Max kg/h per distributor</t>
  </si>
  <si>
    <t>N. di distributori in condotta</t>
  </si>
  <si>
    <t>Capacità dell'umidificatore (kg/h)</t>
  </si>
  <si>
    <t>Lunghezza del distributore (mm)</t>
  </si>
  <si>
    <t>Portata max del distributore (kg/h)</t>
  </si>
  <si>
    <t>Distanza di umidificazione (m)</t>
  </si>
  <si>
    <t>humiSteam X-plus 1,5 kg/h</t>
  </si>
  <si>
    <t>humiSteam X-plus 3 kg/h</t>
  </si>
  <si>
    <t>humiSteam X-plus 5 kg/h</t>
  </si>
  <si>
    <t>humiSteam X-plus 8 kg/h</t>
  </si>
  <si>
    <t>humiSteam X-plus 9 kg/h</t>
  </si>
  <si>
    <t>humiSteam X-plus 10 kg/h</t>
  </si>
  <si>
    <t>humiSteam X-plus 15 kg/h</t>
  </si>
  <si>
    <t>humiSteam X-plus 18 kg/h</t>
  </si>
  <si>
    <t>humiSteam X-plus 25 kg/h</t>
  </si>
  <si>
    <t>humiSteam X-plus 35 kg/h</t>
  </si>
  <si>
    <t>humiSteam X-plus 45 kg/h</t>
  </si>
  <si>
    <t>humiSteam X-plus 65 kg/h</t>
  </si>
  <si>
    <t>humiSteam X-plus 90 kg/h</t>
  </si>
  <si>
    <t>humiSteam X-plus 130 kg/h</t>
  </si>
  <si>
    <t>humiSteam Basic 1,5 kg/h</t>
  </si>
  <si>
    <t>humiSteam Basic 3 kg/h</t>
  </si>
  <si>
    <t>humiSteam Basic 5 kg/h</t>
  </si>
  <si>
    <t>humiSteam Basic 8 kg/h</t>
  </si>
  <si>
    <t>humiSteam Basic 9 kg/h</t>
  </si>
  <si>
    <t>humiSteam Basic 10 kg/h</t>
  </si>
  <si>
    <t>humiSteam Basic 15 kg/h</t>
  </si>
  <si>
    <t>humiSteam Basic 18 kg/h</t>
  </si>
  <si>
    <t>humiSteam Basic 25 kg/h</t>
  </si>
  <si>
    <t>humiSteam Basic 35 kg/h</t>
  </si>
  <si>
    <t>humiSteam Basic 45 kg/h</t>
  </si>
  <si>
    <t>heaterSteam C-control 2 kg/h</t>
  </si>
  <si>
    <t>heaterSteam C-control 4 kg/h</t>
  </si>
  <si>
    <t>heaterSteam C-control 6 kg/h</t>
  </si>
  <si>
    <t>heaterSteam C-control 10 kg/h</t>
  </si>
  <si>
    <t>heaterSteam C-control 20 kg/h</t>
  </si>
  <si>
    <t>heaterSteam C-control 27 kg/h</t>
  </si>
  <si>
    <t>heaterSteam C-control 40 kg/h</t>
  </si>
  <si>
    <t>heaterSteam C-control 60 kg/h</t>
  </si>
  <si>
    <t>gaSteam 90 kg/h</t>
  </si>
  <si>
    <t>gaSteam 180 kg/h</t>
  </si>
  <si>
    <t>gaSteam 45 kg/h</t>
  </si>
  <si>
    <t>Disposable cylinder (humiSteam only)</t>
  </si>
  <si>
    <t>Cleanable cylinder (humiSteam only)</t>
  </si>
  <si>
    <t>humiSteam X-plus 65 kg/h, 460Vac 3~, with regulation, disposable cylinder</t>
  </si>
  <si>
    <t>humiSteam X-plus 90 kg/h, 460Vac 3~, with regulation, disposable cylinder</t>
  </si>
  <si>
    <t>humiSteam X-plus 130 kg/h, 460Vac 3~, with regulation, disposable cylinder</t>
  </si>
  <si>
    <t>humiSteam X-plus 5 kg/h, 575Vac 3~, with regulation, disposable cylinder</t>
  </si>
  <si>
    <t>humiSteam X-plus 8 kg/h, 575Vac 3~, with regulation, disposable cylinder</t>
  </si>
  <si>
    <t>humiSteam X-plus 10 kg/h, 575Vac 3~, with regulation, disposable cylinder</t>
  </si>
  <si>
    <t>humiSteam X-plus 15 kg/h, 575Vac 3~, with regulation, disposable cylinder</t>
  </si>
  <si>
    <t>humiSteam X-plus 18 kg/h, 575Vac 3~, with regulation, disposable cylinder</t>
  </si>
  <si>
    <t>humiSteam X-plus 25 kg/h, 575Vac 3~, with regulation, disposable cylinder</t>
  </si>
  <si>
    <t>humiSteam X-plus 35 kg/h, 575Vac 3~, with regulation, disposable cylinder</t>
  </si>
  <si>
    <t>humiSteam X-plus 45 kg/h, 575Vac 3~, with regulation, disposable cylinder</t>
  </si>
  <si>
    <t>humiSteam X-plus 65 kg/h, 575Vac 3~, with regulation, disposable cylinder</t>
  </si>
  <si>
    <t>humiSteam X-plus 90 kg/h, 575Vac 3~, with regulation, disposable cylinder</t>
  </si>
  <si>
    <t>humiSteam X-plus 130 kg/h, 575Vac 3~, with regulation, disposable cylinder</t>
  </si>
  <si>
    <t>humiSteam X-plus 3 kg/h, 208Vac 3~, with regulation, disposable cylinder</t>
  </si>
  <si>
    <t>humiSteam X-plus 5 kg/h, 208Vac 3~, with regulation, disposable cylinder</t>
  </si>
  <si>
    <t>DP205D40R0</t>
  </si>
  <si>
    <t>DP165D40R0</t>
  </si>
  <si>
    <t>DP035D22R0</t>
  </si>
  <si>
    <t>DP045D22R0</t>
  </si>
  <si>
    <t>DP060D22R0</t>
  </si>
  <si>
    <t>DP085D22R0</t>
  </si>
  <si>
    <t>DP035D30R0</t>
  </si>
  <si>
    <t>DP045D30R0</t>
  </si>
  <si>
    <t>DP060D30R0</t>
  </si>
  <si>
    <t>DP085D30R0</t>
  </si>
  <si>
    <t>DP105D30R0</t>
  </si>
  <si>
    <t>DP125D30R0</t>
  </si>
  <si>
    <t>DP085D40R0</t>
  </si>
  <si>
    <t>DP105D40R0</t>
  </si>
  <si>
    <t>DP125D40R0</t>
  </si>
  <si>
    <t>SFC 006: condensate drain hose Ø=7 mm (per metre)</t>
  </si>
  <si>
    <t>Steam hose with steel spring Ø=22 mm (per metre)</t>
  </si>
  <si>
    <t>Tubo trasporto vapore con spirale acciaio Ø=22 mm (al metro)</t>
  </si>
  <si>
    <t>Steam hose with steel spring Ø=30 mm (per meter)</t>
  </si>
  <si>
    <t>ATTENTION  - le jet de vapeur indiqué produit de la condensation</t>
  </si>
  <si>
    <t>ACHTUNG: Der angegebene Dampffluss führt zur Kondensatbildung</t>
  </si>
  <si>
    <t>humiSteam X-plus 1,5 kg/h, 208Vac 1~, mit Feuchte-Regelung, Reinigungsfähig-Dampfzylinder</t>
  </si>
  <si>
    <t>humiSteam X-plus 3 kg/h, 230Vac 1~, mit Feuchte-Regelung, Reinigungsfähig-Dampfzylinder</t>
  </si>
  <si>
    <t>humiSteam X-plus 3 kg/h, 230Vac 3~, mit Feuchte-Regelung, Reinigungsfähig-Dampfzylinder</t>
  </si>
  <si>
    <t>humiSteam X-plus 3 kg/h, 400Vac 3~, mit Feuchte-Regelung, Reinigungsfähig-Dampfzylinder</t>
  </si>
  <si>
    <t>humiSteam X-plus 3 kg/h, 460Vac 3~, mit Feuchte-Regelung, Reinigungsfähig-Dampfzylinder</t>
  </si>
  <si>
    <t>humiSteam X-plus 3 kg/h, 208Vac 1~, mit Feuchte-Regelung, Reinigungsfähig-Dampfzylinder</t>
  </si>
  <si>
    <t>humiSteam X-plus 3 kg/h, 208Vac 3~, mit Feuchte-Regelung, Reinigungsfähig-Dampfzylinder</t>
  </si>
  <si>
    <t>humiSteam X-plus 5 kg/h, 230Vac 1~, mit Feuchte-Regelung, Reinigungsfähig-Dampfzylinder</t>
  </si>
  <si>
    <t>humiSteam X-plus 5 kg/h, 230Vac 3~, mit Feuchte-Regelung, Reinigungsfähig-Dampfzylinder</t>
  </si>
  <si>
    <t>humiSteam X-plus 5 kg/h, 400Vac 3~, mit Feuchte-Regelung, Reinigungsfähig-Dampfzylinder</t>
  </si>
  <si>
    <t>humiSteam X-plus 5 kg/h, 460Vac 3~, mit Feuchte-Regelung, Reinigungsfähig-Dampfzylinder</t>
  </si>
  <si>
    <t>humiSteam X-plus 5 kg/h, 575Vac 3~, mit Feuchte-Regelung, Reinigungsfähig-Dampfzylinder</t>
  </si>
  <si>
    <t>heaterSteam 27 kg/h , 400Vac 3~, ON/OFF or proportional, basic version</t>
  </si>
  <si>
    <t>heaterSteam 27 kg/h, 400V 3~, ON/OFF o proporzionale, versione base</t>
  </si>
  <si>
    <t>heaterSteam 27 kg/h , 400Vac 3~, ON/OFF or proportional, full optional version</t>
  </si>
  <si>
    <t>heaterSteam 27 kg/h, 400V 3~, ON/OFF o proporzionale, versione full optional</t>
  </si>
  <si>
    <t>heaterSteam 40 kg/h , 400Vac 3~, ON/OFF or proportional, basic version</t>
  </si>
  <si>
    <t>heaterSteam 40 kg/h, 400V 3~, ON/OFF o proporzionale, versione base</t>
  </si>
  <si>
    <t>heaterSteam 40 kg/h , 400Vac 3~, ON/OFF or proportional, full optional version</t>
  </si>
  <si>
    <t>heaterSteam 40 kg/h, 400V 3~, ON/OFF o proporzionale, versione full optional</t>
  </si>
  <si>
    <t>heaterSteam 60 kg/h , 400Vac 3~, ON/OFF or proportional, basic version</t>
  </si>
  <si>
    <t>heaterSteam 60 kg/h, 400V 3~, ON/OFF o proporzionale, versione base</t>
  </si>
  <si>
    <t>humiSteam Basic 1,5 kg/h, 230V 1~, todo/nada o proporcional, cilindro no practicable</t>
  </si>
  <si>
    <t>humiSteam Basic 1,5 kg/h, 230V 1~, todo/nada o proporcional, cilindro practicable</t>
  </si>
  <si>
    <t>humiSteam Basic 1,5 kg/h, 208V 1~, todo/nada o proporcional, cilindro no practicable</t>
  </si>
  <si>
    <t>humiSteam Basic 1,5 kg/h, 208V 1~, todo/nada o proporcional, cilindro practicable</t>
  </si>
  <si>
    <t>humiSteam Basic 3 kg/h, 230V 1~, todo/nada o proporcional, cilindro no practicable</t>
  </si>
  <si>
    <t>humiSteam Basic 3 kg/h, 230V 1~, todo/nada o proporcional, cilindro practicable</t>
  </si>
  <si>
    <t>humiSteam Basic 3 kg/h, 230V 3~,  todo/nada o proporcional, cilindro no practicable</t>
  </si>
  <si>
    <t>humiSteam Basic 3 kg/h, 230V 3~,  todo/nada o proporcional, cilindro practicable</t>
  </si>
  <si>
    <t>humiSteam Basic 3 kg/h, 400V 3~,  todo/nada o proporcional, cilindro no practicable</t>
  </si>
  <si>
    <t>humiSteam Basic 3 kg/h, 400V 3~,  todo/nada o proporcional, cilindro practicable</t>
  </si>
  <si>
    <t>humiSteam Basic 3 kg/h, 460V 3~,  todo/nada o proporcional, cilindro no practicable</t>
  </si>
  <si>
    <t>humiSteam Basic 3 kg/h, 460V 3~,  todo/nada o proporcional, cilindro practicable</t>
  </si>
  <si>
    <t>humiSteam Basic 3 kg/h, 575V 3~,  todo/nada o proporcional, cilindro no practicable</t>
  </si>
  <si>
    <t>humiSteam Basic 3 kg/h, 575V 3~,  todo/nada o proporcional, cilindro practicable</t>
  </si>
  <si>
    <t>humiSteam Basic 3 kg/h, 208V 1~, todo/nada o proporcional, cilindro no practicable</t>
  </si>
  <si>
    <t>humiSteam Basic 3 kg/h, 208V 1~, todo/nada o proporcional, cilindro practicable</t>
  </si>
  <si>
    <t>humiSteam Basic 3 kg/h, 208V 3~,  todo/nada o proporcional, cilindro no practicable</t>
  </si>
  <si>
    <t>humiSteam Basic 3 kg/h, 208V 3~,  todo/nada o proporcional, cilindro practicable</t>
  </si>
  <si>
    <t>humiSteam Basic 5 kg/h, 230V 1~, todo/nada o proporcional, cilindro no practicable</t>
  </si>
  <si>
    <t>humiSteam Basic 5 kg/h, 230V 1~, todo/nada o proporcional, cilindro practicable</t>
  </si>
  <si>
    <t>humiSteam Basic 5 kg/h, 230V 3~,  todo/nada o proporcional, cilindro no practicable</t>
  </si>
  <si>
    <t>humiSteam Basic 5 kg/h, 230V 3~,  todo/nada o proporcional, cilindro practicable</t>
  </si>
  <si>
    <t>humiSteam Basic 5 kg/h, 400V 3~,  todo/nada o proporcional, cilindro no practicable</t>
  </si>
  <si>
    <t>humiSteam Basic 5 kg/h, 400V 3~,  todo/nada o proporcional, cilindro practicable</t>
  </si>
  <si>
    <t>humiSteam Basic 5 kg/h, 460V 3~,  todo/nada o proporcional, cilindro no practicable</t>
  </si>
  <si>
    <t>humiSteam Basic 5 kg/h, 460V 3~,  todo/nada o proporcional, cilindro practicable</t>
  </si>
  <si>
    <t>humiSteam Basic 5 kg/h, 575V 3~,  todo/nada o proporcional, cilindro no practicable</t>
  </si>
  <si>
    <t>humiSteam Basic 5 kg/h, 575V 3~,  todo/nada o proporcional, cilindro practicable</t>
  </si>
  <si>
    <t>humiSteam Basic 5 kg/h, 208V 1~, todo/nada o proporcional, cilindro no practicable</t>
  </si>
  <si>
    <t>humiSteam Basic 5 kg/h, 208V 1~, todo/nada o proporcional, cilindro practicable</t>
  </si>
  <si>
    <t>humiSteam Basic 5 kg/h, 208V 3~,  todo/nada o proporcional, cilindro no practicable</t>
  </si>
  <si>
    <t>humiSteam Basic 5 kg/h, 208V 3~,  todo/nada o proporcional, cilindro practicable</t>
  </si>
  <si>
    <t>humiSteam Basic 8 kg/h, 230V 3~,  todo/nada o proporcional, cilindro no practicable</t>
  </si>
  <si>
    <t>humiSteam Basic 8 kg/h, 230V 3~,  todo/nada o proporcional, cilindro practicable</t>
  </si>
  <si>
    <t>UE001YD001</t>
  </si>
  <si>
    <t>UE001YU001</t>
  </si>
  <si>
    <t>UE003YD001</t>
  </si>
  <si>
    <t>UE003YK001</t>
  </si>
  <si>
    <t>UE003YL001</t>
  </si>
  <si>
    <t>UE003YM001</t>
  </si>
  <si>
    <t>UE003YU001</t>
  </si>
  <si>
    <t>UE003YW001</t>
  </si>
  <si>
    <t>UE005YD001</t>
  </si>
  <si>
    <t>UE005YK001</t>
  </si>
  <si>
    <t>UE005YL001</t>
  </si>
  <si>
    <t>UE005YM001</t>
  </si>
  <si>
    <t>UE005YN001</t>
  </si>
  <si>
    <t>UE005YU001</t>
  </si>
  <si>
    <t>UE005YW001</t>
  </si>
  <si>
    <t>UE008YK001</t>
  </si>
  <si>
    <t>UE008YL001</t>
  </si>
  <si>
    <t>UE008YM001</t>
  </si>
  <si>
    <t>UE008YN001</t>
  </si>
  <si>
    <t>UE008YW001</t>
  </si>
  <si>
    <t>UE009YD001</t>
  </si>
  <si>
    <t>UE009YU001</t>
  </si>
  <si>
    <t>UE010YK001</t>
  </si>
  <si>
    <t>UE010YL001</t>
  </si>
  <si>
    <t>UE010YM001</t>
  </si>
  <si>
    <t>UE010YN001</t>
  </si>
  <si>
    <t>UE010YW001</t>
  </si>
  <si>
    <t>UE015YK001</t>
  </si>
  <si>
    <t>UE015YL001</t>
  </si>
  <si>
    <t>UE015YM001</t>
  </si>
  <si>
    <t>UE015YN001</t>
  </si>
  <si>
    <t>UE015YW001</t>
  </si>
  <si>
    <t>UE018YL001</t>
  </si>
  <si>
    <t>UE018YM001</t>
  </si>
  <si>
    <t>UE018YN001</t>
  </si>
  <si>
    <t>UE025YK001</t>
  </si>
  <si>
    <t>UE025YL001</t>
  </si>
  <si>
    <t>UE025YM001</t>
  </si>
  <si>
    <t>UE025YN001</t>
  </si>
  <si>
    <t>UE025YW001</t>
  </si>
  <si>
    <t>UE035YK001</t>
  </si>
  <si>
    <t>UE035YL001</t>
  </si>
  <si>
    <t>UE035YM001</t>
  </si>
  <si>
    <t>UE035YN001</t>
  </si>
  <si>
    <t>UE035YW001</t>
  </si>
  <si>
    <t>UE045YK001</t>
  </si>
  <si>
    <t>UE045YL001</t>
  </si>
  <si>
    <t>UE045YM001</t>
  </si>
  <si>
    <t>UE045YN001</t>
  </si>
  <si>
    <t>UE045YW001</t>
  </si>
  <si>
    <t>UE065YL001</t>
  </si>
  <si>
    <t>UE065YM001</t>
  </si>
  <si>
    <t>UE065YN001</t>
  </si>
  <si>
    <t>UE001XD001</t>
  </si>
  <si>
    <t>UE001XU001</t>
  </si>
  <si>
    <t>UE003XD001</t>
  </si>
  <si>
    <t>UE003XK001</t>
  </si>
  <si>
    <t>UE003XL001</t>
  </si>
  <si>
    <t>UE003XM001</t>
  </si>
  <si>
    <t>UE003XU001</t>
  </si>
  <si>
    <t>UE003XW001</t>
  </si>
  <si>
    <t>UE005XD001</t>
  </si>
  <si>
    <t>UE005XK001</t>
  </si>
  <si>
    <t>UE005XL001</t>
  </si>
  <si>
    <t>UE005XM001</t>
  </si>
  <si>
    <t>UE005XN001</t>
  </si>
  <si>
    <t>UE005XU001</t>
  </si>
  <si>
    <t>UE005XW001</t>
  </si>
  <si>
    <t>UE008XK001</t>
  </si>
  <si>
    <t>UE008XL001</t>
  </si>
  <si>
    <t>UE008XM001</t>
  </si>
  <si>
    <t>UE008XN001</t>
  </si>
  <si>
    <t>UE008XW001</t>
  </si>
  <si>
    <t>UE009XD001</t>
  </si>
  <si>
    <t>UE009XU001</t>
  </si>
  <si>
    <t>UE010XK001</t>
  </si>
  <si>
    <t>UE010XL001</t>
  </si>
  <si>
    <t>UE010XM001</t>
  </si>
  <si>
    <t>UE010XN001</t>
  </si>
  <si>
    <t>UE010XW001</t>
  </si>
  <si>
    <t>UE015XK001</t>
  </si>
  <si>
    <t>UE015XL001</t>
  </si>
  <si>
    <t>UE015XM001</t>
  </si>
  <si>
    <t>UE015XN001</t>
  </si>
  <si>
    <t>UE015XW001</t>
  </si>
  <si>
    <t>UE018XL001</t>
  </si>
  <si>
    <t>UE018XM001</t>
  </si>
  <si>
    <t>UE018XN001</t>
  </si>
  <si>
    <t>UE025XK001</t>
  </si>
  <si>
    <t>UE025XL001</t>
  </si>
  <si>
    <t>UE025XM001</t>
  </si>
  <si>
    <t>UE025XN001</t>
  </si>
  <si>
    <t>UE025XW001</t>
  </si>
  <si>
    <t>UE035XK001</t>
  </si>
  <si>
    <t>UE035XL001</t>
  </si>
  <si>
    <t>UE035XM001</t>
  </si>
  <si>
    <t>UE035XN001</t>
  </si>
  <si>
    <t>UE035XW001</t>
  </si>
  <si>
    <t>UE045XK001</t>
  </si>
  <si>
    <t>UE045XL001</t>
  </si>
  <si>
    <t>UE045XM001</t>
  </si>
  <si>
    <t>UE045XN001</t>
  </si>
  <si>
    <t>UE045XW001</t>
  </si>
  <si>
    <t>UE065XL001</t>
  </si>
  <si>
    <t>UE065XM001</t>
  </si>
  <si>
    <t>UE065XN001</t>
  </si>
  <si>
    <t>UE090XL001</t>
  </si>
  <si>
    <t>UE090XM001</t>
  </si>
  <si>
    <t>UE090XN001</t>
  </si>
  <si>
    <t>UE130XL001</t>
  </si>
  <si>
    <t>UE130XM001</t>
  </si>
  <si>
    <t>UE130XN001</t>
  </si>
  <si>
    <t>UE001YDC01</t>
  </si>
  <si>
    <t>UE001YUC01</t>
  </si>
  <si>
    <t>UE003YDC01</t>
  </si>
  <si>
    <t>UE003YKC01</t>
  </si>
  <si>
    <t>UE003YLC01</t>
  </si>
  <si>
    <t>UE003YMC01</t>
  </si>
  <si>
    <t>UE003YUC01</t>
  </si>
  <si>
    <t>UE003YWC01</t>
  </si>
  <si>
    <t>UE005YDC01</t>
  </si>
  <si>
    <t>UE005YKC01</t>
  </si>
  <si>
    <t>UE005YLC01</t>
  </si>
  <si>
    <t>UE005YMC01</t>
  </si>
  <si>
    <t>UE005YNC01</t>
  </si>
  <si>
    <t>UE005YUC01</t>
  </si>
  <si>
    <t>UE005YWC01</t>
  </si>
  <si>
    <t>UE008YKC01</t>
  </si>
  <si>
    <t>UE008YLC01</t>
  </si>
  <si>
    <t>UE008YMC01</t>
  </si>
  <si>
    <t>UE008YNC01</t>
  </si>
  <si>
    <t>UE008YWC01</t>
  </si>
  <si>
    <t>UE009YDC01</t>
  </si>
  <si>
    <t>UE009YUC01</t>
  </si>
  <si>
    <t>UE010YKC01</t>
  </si>
  <si>
    <t>UE010YLC01</t>
  </si>
  <si>
    <t>UE010YMC01</t>
  </si>
  <si>
    <t>UE010YNC01</t>
  </si>
  <si>
    <t>UE010YWC01</t>
  </si>
  <si>
    <t>UE015YKC01</t>
  </si>
  <si>
    <t>UE015YLC01</t>
  </si>
  <si>
    <t>UE015YMC01</t>
  </si>
  <si>
    <t>UE015YNC01</t>
  </si>
  <si>
    <t>UE015YWC01</t>
  </si>
  <si>
    <t>UE018YLC01</t>
  </si>
  <si>
    <t>UE018YMC01</t>
  </si>
  <si>
    <t>UE018YNC01</t>
  </si>
  <si>
    <t>UE025YKC01</t>
  </si>
  <si>
    <t>UE025YLC01</t>
  </si>
  <si>
    <t>UE025YMC01</t>
  </si>
  <si>
    <t>UE025YNC01</t>
  </si>
  <si>
    <t>UE025YWC01</t>
  </si>
  <si>
    <t>UE035YKC01</t>
  </si>
  <si>
    <t>UE035YLC01</t>
  </si>
  <si>
    <t>UE035YMC01</t>
  </si>
  <si>
    <t>UE035YNC01</t>
  </si>
  <si>
    <t>UE035YWC01</t>
  </si>
  <si>
    <t>UE045YKC01</t>
  </si>
  <si>
    <t>UE045YLC01</t>
  </si>
  <si>
    <t>UE045YMC01</t>
  </si>
  <si>
    <t>UE045YNC01</t>
  </si>
  <si>
    <t>UE045YWC01</t>
  </si>
  <si>
    <t>UE065YLC01</t>
  </si>
  <si>
    <t>UE065YMC01</t>
  </si>
  <si>
    <t>UE065YNC01</t>
  </si>
  <si>
    <t>UE001XDC01</t>
  </si>
  <si>
    <t>UE001XUC01</t>
  </si>
  <si>
    <t>UE003XDC01</t>
  </si>
  <si>
    <t>UE003XKC01</t>
  </si>
  <si>
    <t>UE003XLC01</t>
  </si>
  <si>
    <t>UE003XMC01</t>
  </si>
  <si>
    <t>UE003XUC01</t>
  </si>
  <si>
    <t>UE003XWC01</t>
  </si>
  <si>
    <t>UE005XDC01</t>
  </si>
  <si>
    <t>UE005XKC01</t>
  </si>
  <si>
    <t>UE005XLC01</t>
  </si>
  <si>
    <t>UE005XMC01</t>
  </si>
  <si>
    <t>UE005XNC01</t>
  </si>
  <si>
    <t>UE005XUC01</t>
  </si>
  <si>
    <t>UE005XWC01</t>
  </si>
  <si>
    <t>UE008XKC01</t>
  </si>
  <si>
    <t>UE008XLC01</t>
  </si>
  <si>
    <t>UE008XMC01</t>
  </si>
  <si>
    <t>UE008XNC01</t>
  </si>
  <si>
    <t>UE008XWC01</t>
  </si>
  <si>
    <t>UE009XDC01</t>
  </si>
  <si>
    <t>UE009XUC01</t>
  </si>
  <si>
    <t>UE010XKC01</t>
  </si>
  <si>
    <t>UE010XLC01</t>
  </si>
  <si>
    <t>UE010XMC01</t>
  </si>
  <si>
    <t>UE010XNC01</t>
  </si>
  <si>
    <t>UE010XWC01</t>
  </si>
  <si>
    <t>UE015XKC01</t>
  </si>
  <si>
    <t>UE015XLC01</t>
  </si>
  <si>
    <t>UE015XMC01</t>
  </si>
  <si>
    <t>UE015XNC01</t>
  </si>
  <si>
    <t>UE015XWC01</t>
  </si>
  <si>
    <t>UE018XLC01</t>
  </si>
  <si>
    <t>UE018XMC01</t>
  </si>
  <si>
    <t>UE018XNC01</t>
  </si>
  <si>
    <t>UE025XKC01</t>
  </si>
  <si>
    <t>UE025XLC01</t>
  </si>
  <si>
    <t>UE025XMC01</t>
  </si>
  <si>
    <t>UE025XNC01</t>
  </si>
  <si>
    <t>UE025XWC01</t>
  </si>
  <si>
    <t>UE035XKC01</t>
  </si>
  <si>
    <t>UE035XLC01</t>
  </si>
  <si>
    <t>UE035XMC01</t>
  </si>
  <si>
    <t>UE035XNC01</t>
  </si>
  <si>
    <t>UE035XWC01</t>
  </si>
  <si>
    <t>UE045XKC01</t>
  </si>
  <si>
    <t>UE045XLC01</t>
  </si>
  <si>
    <t>UE045XMC01</t>
  </si>
  <si>
    <t>UE045XNC01</t>
  </si>
  <si>
    <t>UE045XWC01</t>
  </si>
  <si>
    <t>UE065XLC01</t>
  </si>
  <si>
    <t>UE065XMC01</t>
  </si>
  <si>
    <t>UE065XNC01</t>
  </si>
  <si>
    <t>UE090XLC01</t>
  </si>
  <si>
    <t>UE090XMC01</t>
  </si>
  <si>
    <t>UE090XNC01</t>
  </si>
  <si>
    <t>UE130XLC01</t>
  </si>
  <si>
    <t>UE130XMC01</t>
  </si>
  <si>
    <t>UE130XNC01</t>
  </si>
  <si>
    <t>heaterSteam 4 kg/h , 230Vac 1~, EIN/AUS-Betrieb oder proportional Regelung, Grundversion</t>
  </si>
  <si>
    <t>heaterSteam 4 kg/h , 208Vac 1~, EIN/AUS-Betrieb oder proportional Regelung, Grundversion</t>
  </si>
  <si>
    <t>heaterSteam 4 kg/h , 208Vac 1~, mit Feuchte-Regelung, Grundversion</t>
  </si>
  <si>
    <t>heaterSteam 6 kg/h , 230Vac 1~, EIN/AUS-Betrieb oder proportional Regelung, Grundversion</t>
  </si>
  <si>
    <t>heaterSteam 6 kg/h , 230Vac 3~, EIN/AUS-Betrieb oder proportional Regelung, Grundversion</t>
  </si>
  <si>
    <t>heaterSteam 6 kg/h , 400Vac 3~, EIN/AUS-Betrieb oder proportional Regelung, Grundversion</t>
  </si>
  <si>
    <t>heaterSteam 6 kg/h , 460Vac 3~, EIN/AUS-Betrieb oder proportional Regelung, Grundversion</t>
  </si>
  <si>
    <t>heaterSteam 6 kg/h , 575Vac 3~, EIN/AUS-Betrieb oder proportional Regelung, Grundversion</t>
  </si>
  <si>
    <t>heaterSteam 6 kg/h , 208Vac 1~, EIN/AUS-Betrieb oder proportional Regelung, Grundversion</t>
  </si>
  <si>
    <t>heaterSteam 6 kg/h , 208Vac 3~, EIN/AUS-Betrieb oder proportional Regelung, Grundversion</t>
  </si>
  <si>
    <t>heaterSteam 6 kg/h , 575Vac 3~, mit Feuchte-Regelung, Grundversion</t>
  </si>
  <si>
    <t>heaterSteam 6 kg/h , 208Vac 1~, mit Feuchte-Regelung, Grundversion</t>
  </si>
  <si>
    <t>heaterSteam 6 kg/h , 208Vac 3~, mit Feuchte-Regelung, Grundversion</t>
  </si>
  <si>
    <t>heaterSteam 10 kg/h , 230Vac 3~, EIN/AUS-Betrieb oder proportional Regelung, Grundversion</t>
  </si>
  <si>
    <t>heaterSteam 10 kg/h , 400Vac 3~, EIN/AUS-Betrieb oder proportional Regelung, Grundversion</t>
  </si>
  <si>
    <t>heaterSteam 10 kg/h , 460Vac 3~, EIN/AUS-Betrieb oder proportional Regelung, Grundversion</t>
  </si>
  <si>
    <t>heaterSteam 10 kg/h , 575Vac 3~, EIN/AUS-Betrieb oder proportional Regelung, Grundversion</t>
  </si>
  <si>
    <t>heaterSteam 10 kg/h , 208Vac 3~, EIN/AUS-Betrieb oder proportional Regelung, Grundversion</t>
  </si>
  <si>
    <t>humiSteam Basic 65 kg/h, 575V 3~,  todo/nada o proporcional, cilindro practicable</t>
  </si>
  <si>
    <t>humiSteam X-plus 1,5 kg/h, 230V 1~, regulación integrada, cilindro no practicable</t>
  </si>
  <si>
    <t>humiSteam X-plus 1,5 kg/h, 230V 1~, regulación integrada, cilindro practicable</t>
  </si>
  <si>
    <t>humiSteam X-plus 1,5 kg/h, 208V 1~, regulación integrada, cilindro no practicable</t>
  </si>
  <si>
    <t>humiSteam X-plus 1,5 kg/h, 208V 1~, regulación integrada, cilindro practicable</t>
  </si>
  <si>
    <t>humiSteam X-plus 3 kg/h, 230V 1~, regulación integrada, cilindro no practicable</t>
  </si>
  <si>
    <t>humiSteam Basic 45 kg/h, 208V 3~, ON/OFF or proportional, cleanable cylinder</t>
  </si>
  <si>
    <t>humiSteam Basic 3 kg/h, 230V 3~, ON/OFF or proportional, cleanable cylinder</t>
  </si>
  <si>
    <t>humiSteam Basic 5 kg/h, 230V 3~, ON/OFF or proportional, cleanable cylinder</t>
  </si>
  <si>
    <t>humiSteam Basic 8 kg/h, 230V 3~, ON/OFF or proportional, cleanable cylinder</t>
  </si>
  <si>
    <t>humiSteam Basic 10 kg/h, 230V 3~, ON/OFF or proportional, cleanable cylinder</t>
  </si>
  <si>
    <t>humiSteam Basic 15 kg/h, 230V 3~, ON/OFF or proportional, cleanable cylinder</t>
  </si>
  <si>
    <t>humiSteam Basic 25 kg/h, 230V 3~, ON/OFF or proportional, cleanable cylinder</t>
  </si>
  <si>
    <t>humiSteam Basic 35 kg/h, 230V 3~, ON/OFF or proportional, cleanable cylinder</t>
  </si>
  <si>
    <t>humiSteam Basic 45 kg/h, 230V 3~, ON/OFF or proportional, cleanable cylinder</t>
  </si>
  <si>
    <t>La distanza di umidificazione è calcolata usando il lavoro di Gundacker</t>
  </si>
  <si>
    <t>Humidifier capacity (kg/h)</t>
  </si>
  <si>
    <t>Distributor length (mm)</t>
  </si>
  <si>
    <t>Humidification distance (m)</t>
  </si>
  <si>
    <t>distributor lenght is bigger than duct width</t>
  </si>
  <si>
    <t>humidification load is bigger than maximum steam distributor capacity</t>
  </si>
  <si>
    <t>Ultima selezione</t>
  </si>
  <si>
    <t xml:space="preserve">FRANÇAIS </t>
  </si>
  <si>
    <t xml:space="preserve">ESPAÑOL </t>
  </si>
  <si>
    <t>Sonda attiva per ambiente: temperatura (-10T60 °C) ed umidità (10…90% rH)</t>
  </si>
  <si>
    <t>Sonda attiva per ambiente industriale: Temperatura (-20T70 °C) ed umidità (10…90% rH)</t>
  </si>
  <si>
    <t>Sonda attiva per ambiente industriale: Temperatura (-20T70 °C) ed umidità (0…100% rH)</t>
  </si>
  <si>
    <t>Sonda attiva per condotta: Temperatura (-20T70 °C) ed umidità (10…90% rH)</t>
  </si>
  <si>
    <t>Sonda attiva per condotta: Temperatura (-20T70 °C) ed umidità (0…100% rH)</t>
  </si>
  <si>
    <t xml:space="preserve">Sonda di temperatura (-30T90 °C) per uso universale </t>
  </si>
  <si>
    <t>Active wall mounting sensor: Temperature (-10T60 °C) and humidity (10 to 90% rH)</t>
  </si>
  <si>
    <t>Active sensor for industrial environments: Temperature (-20T70 °C) and humidity (10 to 90% rH)</t>
  </si>
  <si>
    <t>Active sensor for industrial environments: Temperature (-20T70 °C) and humidity (0 to 100% rH)</t>
  </si>
  <si>
    <t>Active sensor for ducts: Temperature (-20T70 °C) and humidity (10 to 90% rH)</t>
  </si>
  <si>
    <t>Active sensor for ducts: Temperature (-20T70 °C) and humidity (0 to 100% rH)</t>
  </si>
  <si>
    <t>Temperature probe (-30T90 °C) for universal use</t>
  </si>
  <si>
    <t>UE015X</t>
  </si>
  <si>
    <t>UE015Y</t>
  </si>
  <si>
    <t>Scelta della tensione</t>
  </si>
  <si>
    <t>U</t>
  </si>
  <si>
    <t>W</t>
  </si>
  <si>
    <t>K</t>
  </si>
  <si>
    <t>L</t>
  </si>
  <si>
    <t>M</t>
  </si>
  <si>
    <t>N</t>
  </si>
  <si>
    <t>UEX</t>
  </si>
  <si>
    <t>UEY</t>
  </si>
  <si>
    <t>UR</t>
  </si>
  <si>
    <t>UG</t>
  </si>
  <si>
    <r>
      <t>575V, 3</t>
    </r>
    <r>
      <rPr>
        <sz val="8"/>
        <rFont val="Verdana"/>
        <family val="2"/>
      </rPr>
      <t>phase</t>
    </r>
  </si>
  <si>
    <r>
      <t>460V, 3</t>
    </r>
    <r>
      <rPr>
        <sz val="8"/>
        <rFont val="Verdana"/>
        <family val="2"/>
      </rPr>
      <t>phase</t>
    </r>
  </si>
  <si>
    <r>
      <t>400V, 3</t>
    </r>
    <r>
      <rPr>
        <sz val="8"/>
        <rFont val="Verdana"/>
        <family val="2"/>
      </rPr>
      <t>phase</t>
    </r>
  </si>
  <si>
    <r>
      <t>230V, 3</t>
    </r>
    <r>
      <rPr>
        <sz val="8"/>
        <rFont val="Verdana"/>
        <family val="2"/>
      </rPr>
      <t>phase</t>
    </r>
  </si>
  <si>
    <r>
      <t>208V, 3</t>
    </r>
    <r>
      <rPr>
        <sz val="8"/>
        <rFont val="Verdana"/>
        <family val="2"/>
      </rPr>
      <t>phase</t>
    </r>
  </si>
  <si>
    <t>230V, 1phase</t>
  </si>
  <si>
    <t>208V, 1phase</t>
  </si>
  <si>
    <t>Voltage not available for the model chosen</t>
  </si>
  <si>
    <t>UR020H</t>
  </si>
  <si>
    <t>Scelta delle caratteristiche opzionali</t>
  </si>
  <si>
    <t xml:space="preserve">Tensioni possibili </t>
  </si>
  <si>
    <t xml:space="preserve">Opzional possibili </t>
  </si>
  <si>
    <t>Cilindro apribile (solo per humiSteam)</t>
  </si>
  <si>
    <t>Cilindro standard (solo per humiSteam)</t>
  </si>
  <si>
    <t xml:space="preserve"> </t>
  </si>
  <si>
    <t>Optional non corretto per il modello di umidificatore scelto</t>
  </si>
  <si>
    <t>Tensione non disponibile per il modello di umidificatore scelto</t>
  </si>
  <si>
    <t>Codice finale</t>
  </si>
  <si>
    <t>001</t>
  </si>
  <si>
    <t>concatena</t>
  </si>
  <si>
    <t>eccezione per UR20</t>
  </si>
  <si>
    <t>S</t>
  </si>
  <si>
    <t>humiSteam X-plus 1,5 kg/h, 230V 1~, regolazione integrata, cilindro non apribile</t>
  </si>
  <si>
    <t>humiSteam X-plus 3 kg/h, 230V 1~, regolazione integrata, cilindro non apribile</t>
  </si>
  <si>
    <t>humiSteam X-plus 5 kg/h, 230V 1~, regolazione integrata, cilindro non apribile</t>
  </si>
  <si>
    <t>humiSteam X-plus 9 kg/h, 230V 1~, regolazione integrata, cilindro non apribile</t>
  </si>
  <si>
    <t>humiSteam X-plus 1,5 kg/h, 208V 1~, regolazione integrata, cilindro non apribile</t>
  </si>
  <si>
    <t>humiSteam X-plus 3 kg/h, 208V 1~, regolazione integrata, cilindro non apribile</t>
  </si>
  <si>
    <t>humiSteam X-plus 5 kg/h, 208V 1~, regolazione integrata, cilindro non apribile</t>
  </si>
  <si>
    <t>humiSteam X-plus 9 kg/h, 208V 1~, regolazione integrata, cilindro non apribile</t>
  </si>
  <si>
    <t>humiSteam X-plus 3 kg/h, 208V 3~, regolazione integrata, cilindro non apribile</t>
  </si>
  <si>
    <t>humiSteam X-plus 5 kg/h, 208V 3~, regolazione integrata, cilindro non apribile</t>
  </si>
  <si>
    <t>humiSteam X-plus 8 kg/h, 208V 3~, regolazione integrata, cilindro non apribile</t>
  </si>
  <si>
    <t>humiSteam X-plus 10 kg/h, 208V 3~, regolazione integrata, cilindro non apribile</t>
  </si>
  <si>
    <t>humiSteam X-plus 15 kg/h, 208V 3~, regolazione integrata, cilindro non apribile</t>
  </si>
  <si>
    <t>humiSteam X-plus 25 kg/h, 208V 3~, regolazione integrata, cilindro non apribile</t>
  </si>
  <si>
    <t>humiSteam X-plus 35 kg/h, 208V 3~, regolazione integrata, cilindro non apribile</t>
  </si>
  <si>
    <t>humiSteam X-plus 45 kg/h, 208V 3~, regolazione integrata, cilindro non apribile</t>
  </si>
  <si>
    <t>humiSteam X-plus 3 kg/h, 230V 3~, regolazione integrata, cilindro non apribile</t>
  </si>
  <si>
    <t>humiSteam X-plus 5 kg/h, 230V 3~, regolazione integrata, cilindro non apribile</t>
  </si>
  <si>
    <t>humiSteam X-plus 8 kg/h, 230V 3~, regolazione integrata, cilindro non apribile</t>
  </si>
  <si>
    <t>humiSteam X-plus 10 kg/h, 230V 3~, regolazione integrata, cilindro non apribile</t>
  </si>
  <si>
    <t>humiSteam X-plus 15 kg/h, 230V 3~, regolazione integrata, cilindro non apribile</t>
  </si>
  <si>
    <t>humiSteam X-plus 8 kg/h, 208Vac 3~, with regulation, disposable cylinder</t>
  </si>
  <si>
    <t>humiSteam X-plus 10 kg/h, 208Vac 3~, with regulation, disposable cylinder</t>
  </si>
  <si>
    <t>humiSteam X-plus 15 kg/h, 208Vac 3~, with regulation, disposable cylinder</t>
  </si>
  <si>
    <t>humiSteam X-plus 25 kg/h, 208Vac 3~, with regulation, disposable cylinder</t>
  </si>
  <si>
    <t>humiSteam X-plus 35 kg/h, 208Vac 3~, with regulation, disposable cylinder</t>
  </si>
  <si>
    <t>humiSteam Basic 25 kg/h, 575V 3~, EIN/AUS-Betrieb oder proportional Regelung, Einweg-Dampfzylinder</t>
  </si>
  <si>
    <t>humiSteam Basic 25 kg/h, 208V 3~, EIN/AUS-Betrieb oder proportional Regelung, Einweg-Dampfzylinder</t>
  </si>
  <si>
    <t>humiSteam Basic 35 kg/h, 230V 3~, EIN/AUS-Betrieb oder proportional Regelung, Einweg-Dampfzylinder</t>
  </si>
  <si>
    <t>humiSteam Basic 35 kg/h, 400V 3~, EIN/AUS-Betrieb oder proportional Regelung, Einweg-Dampfzylinder</t>
  </si>
  <si>
    <t>humiSteam Basic 35 kg/h, 460V 3~, EIN/AUS-Betrieb oder proportional Regelung, Einweg-Dampfzylinder</t>
  </si>
  <si>
    <t>heaterSteam 60 kg/h , 208Vac 3~, ON/OFF ou proportionnel, version toutes options</t>
  </si>
  <si>
    <t>heaterSteam 60 kg/h , 230Vac 3~, avec régulateur, version toutes options</t>
  </si>
  <si>
    <t>heaterSteam 60 kg/h , 460Vac 3~, ON/OFF ou proportionnel, version toutes options</t>
  </si>
  <si>
    <t>heaterSteam 60 kg/h , 575Vac 3~, ON/OFF ou proportionnel, version toutes options</t>
  </si>
  <si>
    <t>humiSteam X-plus 3 kg/h, 575V 3~, regulación integrada, cilindro no practicable</t>
  </si>
  <si>
    <t>humiSteam X-plus 3 kg/h, 575V 3~, regulación integrada, cilindro practicable</t>
  </si>
  <si>
    <t>humiSteam X-plus 3 kg/h, 208V 1~, regulación integrada, cilindro no practicable</t>
  </si>
  <si>
    <t>humiSteam X-plus 3 kg/h, 208V 1~, regulación integrada, cilindro practicable</t>
  </si>
  <si>
    <t>humiSteam X-plus 3 kg/h, 208V 3~, regulación integrada, cilindro no practicable</t>
  </si>
  <si>
    <t>humiSteam X-plus 3 kg/h, 208V 3~, regulación integrada, cilindro practicable</t>
  </si>
  <si>
    <t>humiSteam X-plus 5 kg/h, 230V 1~, regulación integrada, cilindro no practicable</t>
  </si>
  <si>
    <t>humiSteam X-plus 5 kg/h, 230V 1~, regulación integrada, cilindro practicable</t>
  </si>
  <si>
    <t>humiSteam X-plus 5 kg/h, 230V 3~, regulación integrada, cilindro no practicable</t>
  </si>
  <si>
    <t>humiSteam X-plus 5 kg/h, 230V 3~, regulación integrada, cilindro practicable</t>
  </si>
  <si>
    <t>humiSteam X-plus 5 kg/h, 400V 3~, regulación integrada, cilindro no practicable</t>
  </si>
  <si>
    <t>humiSteam X-plus 5 kg/h, 400V 3~, regulación integrada, cilindro practicable</t>
  </si>
  <si>
    <t>humiSteam X-plus 5 kg/h, 460V 3~, regulación integrada, cilindro no practicable</t>
  </si>
  <si>
    <t>humiSteam X-plus 5 kg/h, 460V 3~, regulación integrada, cilindro practicable</t>
  </si>
  <si>
    <t>humiSteam X-plus 5 kg/h, 575V 3~, regulación integrada, cilindro no practicable</t>
  </si>
  <si>
    <t>humiSteam X-plus 5 kg/h, 575V 3~, regulación integrada, cilindro practicable</t>
  </si>
  <si>
    <t>humiSteam X-plus 5 kg/h, 208V 1~, regulación integrada, cilindro no practicable</t>
  </si>
  <si>
    <t>humiSteam X-plus 5 kg/h, 208V 1~, regulación integrada, cilindro practicable</t>
  </si>
  <si>
    <t>humiSteam X-plus 5 kg/h, 208V 3~, regulación integrada, cilindro no practicable</t>
  </si>
  <si>
    <t>humiSteam X-plus 5 kg/h, 208V 3~, regulación integrada, cilindro practicable</t>
  </si>
  <si>
    <t>humiSteam X-plus 8 kg/h, 230V 3~, regulación integrada, cilindro no practicable</t>
  </si>
  <si>
    <t>humiSteam X-plus 8 kg/h, 230V 3~, regulación integrada, cilindro practicable</t>
  </si>
  <si>
    <t>humiSteam X-plus 8 kg/h, 400V 3~, regulación integrada, cilindro no practicable</t>
  </si>
  <si>
    <t>humiSteam X-plus 8 kg/h, 400V 3~, regulación integrada, cilindro practicable</t>
  </si>
  <si>
    <t>humiSteam X-plus 8 kg/h, 460V 3~, regulación integrada, cilindro no practicable</t>
  </si>
  <si>
    <t>humiSteam X-plus 8 kg/h, 460V 3~, regulación integrada, cilindro practicable</t>
  </si>
  <si>
    <t>humiSteam X-plus 8 kg/h, 575V 3~, regulación integrada, cilindro no practicable</t>
  </si>
  <si>
    <t>humiSteam X-plus 8 kg/h, 575V 3~, regulación integrada, cilindro practicable</t>
  </si>
  <si>
    <t>humiSteam X-plus 8 kg/h, 208V 3~, regulación integrada, cilindro no practicable</t>
  </si>
  <si>
    <t>humiSteam X-plus 8 kg/h, 208V 3~, regulación integrada, cilindro practicable</t>
  </si>
  <si>
    <t>humiSteam X-plus 9 kg/h, 230V 1~, regulación integrada, cilindro no practicable</t>
  </si>
  <si>
    <t>humiSteam X-plus 9 kg/h, 230V 1~, regulación integrada, cilindro practicable</t>
  </si>
  <si>
    <t>humiSteam X-plus 9 kg/h, 208V 1~, regulación integrada, cilindro no practicable</t>
  </si>
  <si>
    <t>humiSteam X-plus 9 kg/h, 208V 1~, regulación integrada, cilindro practicable</t>
  </si>
  <si>
    <t>humiSteam X-plus 10 kg/h, 230V 3~, regulación integrada, cilindro no practicable</t>
  </si>
  <si>
    <t>humiSteam X-plus 10 kg/h, 230V 3~, regulación integrada, cilindro practicable</t>
  </si>
  <si>
    <t>humiSteam X-plus 10 kg/h, 400V 3~, regulación integrada, cilindro no practicable</t>
  </si>
  <si>
    <t>humiSteam X-plus 10 kg/h, 400V 3~, regulación integrada, cilindro practicable</t>
  </si>
  <si>
    <t>humiSteam X-plus 10 kg/h, 460V 3~, regulación integrada, cilindro no practicable</t>
  </si>
  <si>
    <t>humiSteam X-plus 10 kg/h, 460V 3~, regulación integrada, cilindro practicable</t>
  </si>
  <si>
    <t>humiSteam X-plus 10 kg/h, 575V 3~, regulación integrada, cilindro no practicable</t>
  </si>
  <si>
    <t>humiSteam X-plus 10 kg/h, 575V 3~, regulación integrada, cilindro practicable</t>
  </si>
  <si>
    <t>humiSteam X-plus 10 kg/h, 208V 3~, regulación integrada, cilindro no practicable</t>
  </si>
  <si>
    <t>humiSteam X-plus 10 kg/h, 208V 3~, regulación integrada, cilindro practicable</t>
  </si>
  <si>
    <t>humiSteam X-plus 15 kg/h, 230V 3~, regulación integrada, cilindro no practicable</t>
  </si>
  <si>
    <t>humiSteam X-plus 15 kg/h, 230V 3~, regulación integrada, cilindro practicable</t>
  </si>
  <si>
    <t>humiSteam X-plus 15 kg/h, 400V 3~, regulación integrada, cilindro no practicable</t>
  </si>
  <si>
    <t>humiSteam X-plus 15 kg/h, 400V 3~, regulación integrada, cilindro practicable</t>
  </si>
  <si>
    <t>humiSteam X-plus 15 kg/h, 460V 3~, regulación integrada, cilindro no practicable</t>
  </si>
  <si>
    <t>humiSteam X-plus 15 kg/h, 460V 3~, regulación integrada, cilindro practicable</t>
  </si>
  <si>
    <t>humiSteam X-plus 15 kg/h, 575V 3~, regulación integrada, cilindro no practicable</t>
  </si>
  <si>
    <t>humiSteam X-plus 45 kg/h, 208Vac 3~, with regulation, disposable cylinder</t>
  </si>
  <si>
    <t>humiSteam X-plus 3 kg/h, 230Vac 3~, with regulation, disposable cylinder</t>
  </si>
  <si>
    <t>humiSteam X-plus 5 kg/h, 230Vac 3~, with regulation, disposable cylinder</t>
  </si>
  <si>
    <t>SDP OEM: customizable steam injection nozzle</t>
  </si>
  <si>
    <t>SDP OEM: steam injection nozzle up to 3 kg/h</t>
  </si>
  <si>
    <t>SDP OEM: steam injection nozzle from 3 to 15 kg/h</t>
  </si>
  <si>
    <t>SDP OEM ugello vapore da 3 fino a 18 kg/h</t>
  </si>
  <si>
    <t>humiSteam X-plus 1,5 kg/h, 230Vac 1~, with regulation, disposable cylinder</t>
  </si>
  <si>
    <t>humiSteam Basic 1,5 kg/h, 230V 1~, ON/OFF or proportional, disposable cylinder</t>
  </si>
  <si>
    <t>humiSteam Basic 1,5 kg/h, 230V 1~, ON/OFF o proporzionale, cilindro non apribile</t>
  </si>
  <si>
    <t>humiSteam X-plus 3 kg/h, 230Vac 1~, with regulation, disposable cylinder</t>
  </si>
  <si>
    <t>humiSteam X-plus 3 kg/h, 400Vac 3~, with regulation, disposable cylinder</t>
  </si>
  <si>
    <t>humiSteam Basic 8 kg/h, 575V 3~, ON/OFF ou proportionnel, cylindre non ouvrant</t>
  </si>
  <si>
    <t>humiSteam Basic 8 kg/h, 208V 3~, ON/OFF ou proportionnel, cylindre non ouvrant</t>
  </si>
  <si>
    <t>humiSteam Basic 9 kg/h, 230V 1~, ON/OFF ou proportionnel, cylindre non ouvrant</t>
  </si>
  <si>
    <t>humiSteam Basic 9 kg/h, 208V 1~, ON/OFF ou proportionnel, cylindre non ouvrant</t>
  </si>
  <si>
    <t>humiSteam Basic 10 kg/h, 230V 3~, ON/OFF ou proportionnel, cylindre non ouvrant</t>
  </si>
  <si>
    <t>humiSteam Basic 10 kg/h, 400V 3~, ON/OFF ou proportionnel, cylindre non ouvrant</t>
  </si>
  <si>
    <t>humiSteam Basic 10 kg/h, 460V 3~, ON/OFF ou proportionnel, cylindre non ouvrant</t>
  </si>
  <si>
    <t>humiSteam Basic 10 kg/h, 575V 3~, ON/OFF ou proportionnel, cylindre non ouvrant</t>
  </si>
  <si>
    <t>humiSteam Basic 10 kg/h, 208V 3~, ON/OFF ou proportionnel, cylindre non ouvrant</t>
  </si>
  <si>
    <t>humiSteam Basic 15 kg/h, 230V 3~, ON/OFF ou proportionnel, cylindre non ouvrant</t>
  </si>
  <si>
    <t>humiSteam Basic 15 kg/h, 400V 3~, ON/OFF ou proportionnel, cylindre non ouvrant</t>
  </si>
  <si>
    <t>humiSteam Basic 15 kg/h, 460V 3~, ON/OFF ou proportionnel, cylindre non ouvrant</t>
  </si>
  <si>
    <t>humiSteam Basic 15 kg/h, 575V 3~, ON/OFF ou proportionnel, cylindre non ouvrant</t>
  </si>
  <si>
    <t>humiSteam Basic 15 kg/h, 208V 3~, ON/OFF ou proportionnel, cylindre non ouvrant</t>
  </si>
  <si>
    <t>humiSteam Basic 18 kg/h, 400V 3~, ON/OFF ou proportionnel, cylindre non ouvrant</t>
  </si>
  <si>
    <t>humiSteam Basic 18 kg/h, 460V 3~, ON/OFF ou proportionnel, cylindre non ouvrant</t>
  </si>
  <si>
    <t>humiSteam Basic 18 kg/h, 575V 3~, ON/OFF ou proportionnel, cylindre non ouvrant</t>
  </si>
  <si>
    <t>humiSteam Basic 25 kg/h, 230V 3~, ON/OFF ou proportionnel, cylindre non ouvrant</t>
  </si>
  <si>
    <t>humiSteam Basic 25 kg/h, 400V 3~, ON/OFF ou proportionnel, cylindre non ouvrant</t>
  </si>
  <si>
    <t>humiSteam Basic 25 kg/h, 460V 3~, ON/OFF ou proportionnel, cylindre non ouvrant</t>
  </si>
  <si>
    <t>humiSteam Basic 25 kg/h, 575V 3~, ON/OFF ou proportionnel, cylindre non ouvrant</t>
  </si>
  <si>
    <t>humiSteam Basic 25 kg/h, 208V 3~, ON/OFF ou proportionnel, cylindre non ouvrant</t>
  </si>
  <si>
    <t>humiSteam Basic 35 kg/h, 230V 3~, ON/OFF ou proportionnel, cylindre non ouvrant</t>
  </si>
  <si>
    <t>humiSteam Basic 35 kg/h, 400V 3~, ON/OFF ou proportionnel, cylindre non ouvrant</t>
  </si>
  <si>
    <t>humiSteam Basic 35 kg/h, 460V 3~, ON/OFF ou proportionnel, cylindre non ouvrant</t>
  </si>
  <si>
    <t>humiSteam Basic 35 kg/h, 575V 3~, ON/OFF ou proportionnel, cylindre non ouvrant</t>
  </si>
  <si>
    <t>humiSteam Basic 35 kg/h, 208V 3~, ON/OFF ou proportionnel, cylindre non ouvrant</t>
  </si>
  <si>
    <t>humiSteam Basic 45 kg/h, 230V 3~, ON/OFF ou proportionnel, cylindre non ouvrant</t>
  </si>
  <si>
    <t>humiSteam Basic 45 kg/h, 400V 3~, ON/OFF ou proportionnel, cylindre non ouvrant</t>
  </si>
  <si>
    <t>humiSteam Basic 45 kg/h, 460V 3~, ON/OFF ou proportionnel, cylindre non ouvrant</t>
  </si>
  <si>
    <t>humiSteam Basic 45 kg/h, 575V 3~, ON/OFF ou proportionnel, cylindre non ouvrant</t>
  </si>
  <si>
    <t>humiSteam Basic 45 kg/h, 208V 3~, ON/OFF ou proportionnel, cylindre non ouvrant</t>
  </si>
  <si>
    <t>humiSteam Basic 65 kg/h, 400V 3~, ON/OFF ou proportionnel, cylindre non ouvrant</t>
  </si>
  <si>
    <t>humiSteam Basic 65 kg/h, 460V 3~, ON/OFF ou proportionnel, cylindre non ouvrant</t>
  </si>
  <si>
    <t>humiSteam Basic 65 kg/h, 575V 3~, ON/OFF ou proportionnel, cylindre non ouvrant</t>
  </si>
  <si>
    <t>humiSteam Basic 1,5 kg/h, 230V 1~, ON/OFF ou proportionnel, cylindre ouvrant</t>
  </si>
  <si>
    <t>humiSteam Basic 1,5 kg/h, 208V 1~, ON/OFF ou proportionnel, cylindre ouvrant</t>
  </si>
  <si>
    <t>humiSteam Basic 3 kg/h, 230V 1~, ON/OFF ou proportionnel, cylindre ouvrant</t>
  </si>
  <si>
    <t>humiSteam Basic 3 kg/h, 230V 3~, ON/OFF ou proportionnel, cylindre ouvrant</t>
  </si>
  <si>
    <t>humiSteam Basic 3 kg/h, 400V 3~, ON/OFF ou proportionnel, cylindre ouvrant</t>
  </si>
  <si>
    <t>humiSteam Basic 3 kg/h, 460V 3~, ON/OFF ou proportionnel, cylindre ouvrant</t>
  </si>
  <si>
    <t>humiSteam Basic 3 kg/h, 208V 1~, ON/OFF ou proportionnel, cylindre ouvrant</t>
  </si>
  <si>
    <t>humiSteam Basic 3 kg/h, 208V 3~, ON/OFF ou proportionnel, cylindre ouvrant</t>
  </si>
  <si>
    <t>humiSteam Basic 5 kg/h, 230V 1~, ON/OFF ou proportionnel, cylindre ouvrant</t>
  </si>
  <si>
    <t>humiSteam Basic 5 kg/h, 230V 3~, ON/OFF ou proportionnel, cylindre ouvrant</t>
  </si>
  <si>
    <t>humiSteam Basic 5 kg/h, 400V 3~, ON/OFF ou proportionnel, cylindre ouvrant</t>
  </si>
  <si>
    <t>humiSteam X-plus 25 kg/h, 460Vac 3~, mit Feuchte-Regelung, Einweg-Dampfzylinder</t>
  </si>
  <si>
    <t>humiSteam X-plus 25 kg/h, 575Vac 3~, mit Feuchte-Regelung, Einweg-Dampfzylinder</t>
  </si>
  <si>
    <t>humiSteam X-plus 25 kg/h, 208Vac 3~, mit Feuchte-Regelung, Einweg-Dampfzylinder</t>
  </si>
  <si>
    <t>humiSteam X-plus 35 kg/h, 230Vac 3~, mit Feuchte-Regelung, Einweg-Dampfzylinder</t>
  </si>
  <si>
    <t>humiSteam X-plus 35 kg/h, 400Vac 3~, mit Feuchte-Regelung, Einweg-Dampfzylinder</t>
  </si>
  <si>
    <t>humiSteam X-plus 35 kg/h, 460Vac 3~, mit Feuchte-Regelung, Einweg-Dampfzylinder</t>
  </si>
  <si>
    <t>humiSteam X-plus 35 kg/h, 575Vac 3~, mit Feuchte-Regelung, Einweg-Dampfzylinder</t>
  </si>
  <si>
    <t>humiSteam X-plus 35 kg/h, 208Vac 3~, mit Feuchte-Regelung, Einweg-Dampfzylinder</t>
  </si>
  <si>
    <t>humiSteam X-plus 45 kg/h, 230Vac 3~, mit Feuchte-Regelung, Einweg-Dampfzylinder</t>
  </si>
  <si>
    <t>humiSteam X-plus 45 kg/h, 400Vac 3~, mit Feuchte-Regelung, Einweg-Dampfzylinder</t>
  </si>
  <si>
    <t>humiSteam X-plus 45 kg/h, 460Vac 3~, mit Feuchte-Regelung, Einweg-Dampfzylinder</t>
  </si>
  <si>
    <t>humiSteam X-plus 45 kg/h, 575Vac 3~, mit Feuchte-Regelung, Einweg-Dampfzylinder</t>
  </si>
  <si>
    <t>humiSteam X-plus 45 kg/h, 208Vac 3~, mit Feuchte-Regelung, Einweg-Dampfzylinder</t>
  </si>
  <si>
    <t>humiSteam X-plus 65 kg/h, 400Vac 3~, mit Feuchte-Regelung, Einweg-Dampfzylinder</t>
  </si>
  <si>
    <t>humiSteam Basic 9 kg/h, 230V 1~, EIN/AUS-Betrieb oder proportional Regelung, Reinigungsfähig-Dampfzylinder</t>
  </si>
  <si>
    <t>humiSteam Basic 9 kg/h, 208V 1~, EIN/AUS-Betrieb oder proportional Regelung, Reinigungsfähig-Dampfzylinder</t>
  </si>
  <si>
    <t>humiSteam Basic 10 kg/h, 230V 3~, EIN/AUS-Betrieb oder proportional Regelung, Reinigungsfähig-Dampfzylinder</t>
  </si>
  <si>
    <t>humiSteam Basic 8 kg/h, 460V 3~, EIN/AUS-Betrieb oder proportional Regelung, Reinigungsfähig-Dampfzylinder</t>
  </si>
  <si>
    <t>humiSteam Basic 8 kg/h, 575V 3~, EIN/AUS-Betrieb oder proportional Regelung, Reinigungsfähig-Dampfzylinder</t>
  </si>
  <si>
    <t>humiSteam Basic 8 kg/h, 208V 3~, EIN/AUS-Betrieb oder proportional Regelung, Reinigungsfähig-Dampfzylinder</t>
  </si>
  <si>
    <t>humiSteam X-plus 35 kg/h, 400V 3~, regulación integrada, cilindro no practicable</t>
  </si>
  <si>
    <t>humiSteam X-plus 35 kg/h, 400V 3~, regulación integrada, cilindro practicable</t>
  </si>
  <si>
    <t>humiSteam X-plus 35 kg/h, 460V 3~, regulación integrada, cilindro no practicable</t>
  </si>
  <si>
    <t>humiSteam X-plus 35 kg/h, 460V 3~, regulación integrada, cilindro practicable</t>
  </si>
  <si>
    <t>humiSteam X-plus 35 kg/h, 575V 3~, regulación integrada, cilindro no practicable</t>
  </si>
  <si>
    <t>humiSteam X-plus 35 kg/h, 575V 3~, regulación integrada, cilindro practicable</t>
  </si>
  <si>
    <t>humiSteam X-plus 35 kg/h, 208V 3~, regulación integrada, cilindro no practicable</t>
  </si>
  <si>
    <t>humiSteam X-plus 35 kg/h, 208V 3~, regulación integrada, cilindro practicable</t>
  </si>
  <si>
    <t>humiSteam X-plus 45 kg/h, 230V 3~, regulación integrada, cilindro no practicable</t>
  </si>
  <si>
    <t>humiSteam X-plus 45 kg/h, 230V 3~, regulación integrada, cilindro practicable</t>
  </si>
  <si>
    <t>humiSteam X-plus 45 kg/h, 400V 3~, regulación integrada, cilindro no practicable</t>
  </si>
  <si>
    <t>humiSteam X-plus 45 kg/h, 400V 3~, regulación integrada, cilindro practicable</t>
  </si>
  <si>
    <t>humiSteam X-plus 45 kg/h, 460V 3~, regulación integrada, cilindro no practicable</t>
  </si>
  <si>
    <t>humiSteam X-plus 45 kg/h, 460V 3~, regulación integrada, cilindro practicable</t>
  </si>
  <si>
    <t>humiSteam X-plus 45 kg/h, 575V 3~, regulación integrada, cilindro no practicable</t>
  </si>
  <si>
    <t>humiSteam X-plus 45 kg/h, 575V 3~, regulación integrada, cilindro practicable</t>
  </si>
  <si>
    <t>humiSteam X-plus 45 kg/h, 208V 3~, regulación integrada, cilindro no practicable</t>
  </si>
  <si>
    <t>humiSteam X-plus 45 kg/h, 208V 3~, regulación integrada, cilindro practicable</t>
  </si>
  <si>
    <t>humiSteam X-plus 65 kg/h, 400V 3~, regulación integrada, cilindro no practicable</t>
  </si>
  <si>
    <t>humiSteam X-plus 65 kg/h, 400V 3~, regulación integrada, cilindro practicable</t>
  </si>
  <si>
    <t>humiSteam X-plus 65 kg/h, 460V 3~, regulación integrada, cilindro no practicable</t>
  </si>
  <si>
    <t>humiSteam X-plus 65 kg/h, 460V 3~, regulación integrada, cilindro practicable</t>
  </si>
  <si>
    <t>humiSteam X-plus 65 kg/h, 575V 3~, regulación integrada, cilindro no practicable</t>
  </si>
  <si>
    <t>humiSteam X-plus 65 kg/h, 575V 3~, regulación integrada, cilindro practicable</t>
  </si>
  <si>
    <t>humiSteam X-plus 90 kg/h, 400V 3~, regulación integrada, cilindro no practicable</t>
  </si>
  <si>
    <t>humiSteam X-plus 90 kg/h, 400V 3~, regulación integrada, cilindro practicable</t>
  </si>
  <si>
    <t>humiSteam X-plus 90 kg/h, 460V 3~, regulación integrada, cilindro no practicable</t>
  </si>
  <si>
    <t>humiSteam X-plus 90 kg/h, 460V 3~, regulación integrada, cilindro practicable</t>
  </si>
  <si>
    <t>humiSteam X-plus 90 kg/h, 575V 3~, regulación integrada, cilindro no practicable</t>
  </si>
  <si>
    <t>humiSteam X-plus 90 kg/h, 575V 3~, regulación integrada, cilindro practicable</t>
  </si>
  <si>
    <t>humiSteam X-plus 130 kg/h, 400V 3~, regulación integrada, cilindro no practicable</t>
  </si>
  <si>
    <t>humiSteam X-plus 130 kg/h, 400V 3~, regulación integrada, cilindro practicable</t>
  </si>
  <si>
    <t>humiSteam X-plus 130 kg/h, 460V 3~, regulación integrada, cilindro no practicable</t>
  </si>
  <si>
    <t>humiSteam X-plus 130 kg/h, 460V 3~, regulación integrada, cilindro practicable</t>
  </si>
  <si>
    <t>humiSteam X-plus 130 kg/h, 575V 3~, regulación integrada, cilindro no practicable</t>
  </si>
  <si>
    <t>humiSteam Basic 5 kg/h, 460V 3~, ON/OFF ou proportionnel, cylindre ouvrant</t>
  </si>
  <si>
    <t>humiSteam Basic 5 kg/h, 575V 3~, ON/OFF ou proportionnel, cylindre ouvrant</t>
  </si>
  <si>
    <t>humiSteam Basic 5 kg/h, 208V 1~, ON/OFF ou proportionnel, cylindre ouvrant</t>
  </si>
  <si>
    <t>humiSteam Basic 5 kg/h, 208V 3~, ON/OFF ou proportionnel, cylindre ouvrant</t>
  </si>
  <si>
    <t>humiSteam Basic 8 kg/h, 230V 3~, ON/OFF ou proportionnel, cylindre ouvrant</t>
  </si>
  <si>
    <t>humiSteam Basic 8 kg/h, 400V 3~, ON/OFF ou proportionnel, cylindre ouvrant</t>
  </si>
  <si>
    <t>humiSteam X-plus 3 kg/h, 460V 3~, regolazione integrata, cilindro non apribile</t>
  </si>
  <si>
    <t>humiSteam X-plus 5 kg/h, 460V 3~, regolazione integrata, cilindro non apribile</t>
  </si>
  <si>
    <t>humiSteam X-plus 8 kg/h, 460V 3~, regolazione integrata, cilindro non apribile</t>
  </si>
  <si>
    <t>humiSteam X-plus 65 kg/h, 400Vac 3~, mit Feuchte-Regelung, Reinigungsfähig-Dampfzylinder</t>
  </si>
  <si>
    <t>humiSteam X-plus 15 kg/h, 575V 3~, regolazione integrata, cilindro apribile</t>
  </si>
  <si>
    <t>humiSteam X-plus 18 kg/h, 575V 3~, regolazione integrata, cilindro apribile</t>
  </si>
  <si>
    <t>humiSteam X-plus 25 kg/h, 575V 3~, regolazione integrata, cilindro apribile</t>
  </si>
  <si>
    <t>Raccordo a Y per tubi vapore</t>
  </si>
  <si>
    <t>d_uscite</t>
  </si>
  <si>
    <t>UEKY000000</t>
  </si>
  <si>
    <t>‘Y’ connector for steam hoses (from 1x Ø=40 mm to 2x Ø=30 mm)</t>
  </si>
  <si>
    <t>Raccordo a Y per tubi vapore (da 1x Ø=40 mm a 2x Ø=30 mm)</t>
  </si>
  <si>
    <t>UR002CD101</t>
  </si>
  <si>
    <t>UR004CD101</t>
  </si>
  <si>
    <t>UR006CD101</t>
  </si>
  <si>
    <t>UR010CL101</t>
  </si>
  <si>
    <t>FRASI DA INSERIRE</t>
  </si>
  <si>
    <t>UR020CL10S</t>
  </si>
  <si>
    <t>UR027CL101</t>
  </si>
  <si>
    <t>UR040CL101</t>
  </si>
  <si>
    <t>UR060CL101</t>
  </si>
  <si>
    <t>Umidificatore</t>
  </si>
  <si>
    <t>kg/h</t>
  </si>
  <si>
    <t>Codice</t>
  </si>
  <si>
    <t>fattore</t>
  </si>
  <si>
    <t>c.s. aria J/(°C*g)=</t>
  </si>
  <si>
    <t>c.s. vapo J/(°C*g)=</t>
  </si>
  <si>
    <t>c latente J/g=</t>
  </si>
  <si>
    <t>R Joule/Kmole*°K=</t>
  </si>
  <si>
    <t>m</t>
  </si>
  <si>
    <t>t</t>
  </si>
  <si>
    <t>Coeff. Psat</t>
  </si>
  <si>
    <t>Altri coefficienti</t>
  </si>
  <si>
    <t>t start °C</t>
  </si>
  <si>
    <t>t step °C</t>
  </si>
  <si>
    <t>f s</t>
  </si>
  <si>
    <t>H slm m</t>
  </si>
  <si>
    <t>P atm Pa =</t>
  </si>
  <si>
    <t>0 °C = °K</t>
  </si>
  <si>
    <t>T °K</t>
  </si>
  <si>
    <t>t °C</t>
  </si>
  <si>
    <t>Pvs Pa</t>
  </si>
  <si>
    <t>x da UR</t>
  </si>
  <si>
    <t>h</t>
  </si>
  <si>
    <t>x</t>
  </si>
  <si>
    <t>Quantità</t>
  </si>
  <si>
    <t>Descrizione</t>
  </si>
  <si>
    <t>Altitudine s.l.m.</t>
  </si>
  <si>
    <t>Errore altitudine</t>
  </si>
  <si>
    <t>Aria in uscita</t>
  </si>
  <si>
    <t>Umidità relativa</t>
  </si>
  <si>
    <t>Temperatura</t>
  </si>
  <si>
    <t>Umidità specifica</t>
  </si>
  <si>
    <t>Delta x2-x1</t>
  </si>
  <si>
    <t>Condotta</t>
  </si>
  <si>
    <t>Larghezza interna C1</t>
  </si>
  <si>
    <t>Altezza interna C2</t>
  </si>
  <si>
    <t>Portata oraria V</t>
  </si>
  <si>
    <t>Portata oraria GA</t>
  </si>
  <si>
    <t>Velocità dell'aria</t>
  </si>
  <si>
    <t>Acqua totale Gw</t>
  </si>
  <si>
    <t>Larghezza della condotta insufficiente!</t>
  </si>
  <si>
    <t>Altezza della condotta insufficiente!</t>
  </si>
  <si>
    <t>Errore</t>
  </si>
  <si>
    <t>Sonde attive per condotta</t>
  </si>
  <si>
    <t>TOTALE</t>
  </si>
  <si>
    <t>Si/No?</t>
  </si>
  <si>
    <t>Totale prezzo di listino</t>
  </si>
  <si>
    <t>Si</t>
  </si>
  <si>
    <t>No</t>
  </si>
  <si>
    <t>Sconto</t>
  </si>
  <si>
    <t>Sonda di temperatura (0..50 °C) e di umidità (10..90% rH)</t>
  </si>
  <si>
    <t>Sonda di temperatura (-10..70 °C) e di umidità (0..100% rH)</t>
  </si>
  <si>
    <t>Sonda d'umidità 10..90% rH</t>
  </si>
  <si>
    <t>Sonda d'umidità 0..100% rH</t>
  </si>
  <si>
    <t>pressione atm Pascal</t>
  </si>
  <si>
    <t>T t OA °K</t>
  </si>
  <si>
    <t>Condizioni dell'aria in ingresso</t>
  </si>
  <si>
    <t>x OA g/kg</t>
  </si>
  <si>
    <t>Pvs t OA Pascal</t>
  </si>
  <si>
    <t>T</t>
  </si>
  <si>
    <t>Pvs</t>
  </si>
  <si>
    <t>f2</t>
  </si>
  <si>
    <t>z</t>
  </si>
  <si>
    <t>t1</t>
  </si>
  <si>
    <t>x1</t>
  </si>
  <si>
    <t>Dz</t>
  </si>
  <si>
    <t>k</t>
  </si>
  <si>
    <t>Temperatura °C</t>
  </si>
  <si>
    <t>Umidità specifica g/kg</t>
  </si>
  <si>
    <t>Nel diagramma successivo è rappresentata in rosso la trasformazione isotermica scelta. In azzurro sono rappresentate le curve isoentalpiche mentre in blu sono riportate quelle ad umidità relativa costante.</t>
  </si>
  <si>
    <t>Temperatura di partenza</t>
  </si>
  <si>
    <t>Umidità specifica partenza</t>
  </si>
  <si>
    <t>Temperatura arrivo</t>
  </si>
  <si>
    <t>Umidità specifica arrivo</t>
  </si>
  <si>
    <t>Isoterma</t>
  </si>
  <si>
    <t>Code</t>
  </si>
  <si>
    <t>Uscite</t>
  </si>
  <si>
    <t>UE001</t>
  </si>
  <si>
    <t>UE003</t>
  </si>
  <si>
    <t>UE005</t>
  </si>
  <si>
    <t>UE008</t>
  </si>
  <si>
    <t>UE009</t>
  </si>
  <si>
    <t>UE010</t>
  </si>
  <si>
    <t>UE015</t>
  </si>
  <si>
    <t>UE025</t>
  </si>
  <si>
    <t>UE035</t>
  </si>
  <si>
    <t>UE045</t>
  </si>
  <si>
    <t>UE065</t>
  </si>
  <si>
    <t>UE090</t>
  </si>
  <si>
    <t>UE130</t>
  </si>
  <si>
    <t>?</t>
  </si>
  <si>
    <t>UR002</t>
  </si>
  <si>
    <t>UR004</t>
  </si>
  <si>
    <t>UR006</t>
  </si>
  <si>
    <t>UR010</t>
  </si>
  <si>
    <t>UR020</t>
  </si>
  <si>
    <t>UR027</t>
  </si>
  <si>
    <t>UR040</t>
  </si>
  <si>
    <t>UR060</t>
  </si>
  <si>
    <t>#</t>
  </si>
  <si>
    <t>Numero massimo di umidificatori ammissibili</t>
  </si>
  <si>
    <t>ref</t>
  </si>
  <si>
    <t>Macro</t>
  </si>
  <si>
    <t>humiSteam X-plus 25 kg/h, 208Vac 3~, with regulation, cleanable cylinder</t>
  </si>
  <si>
    <t>humiSteam X-plus 35 kg/h, 208Vac 3~, with regulation, cleanable cylinder</t>
  </si>
  <si>
    <t>humiSteam X-plus 45 kg/h, 208Vac 3~, with regulation, cleanable cylinder</t>
  </si>
  <si>
    <t>humiSteam X-plus 3 kg/h, 230Vac 3~, with regulation, cleanable cylinder</t>
  </si>
  <si>
    <t>humiSteam X-plus 5 kg/h, 230Vac 3~, with regulation, cleanable cylinder</t>
  </si>
  <si>
    <t>humiSteam X-plus 8 kg/h, 230Vac 3~, with regulation, cleanable cylinder</t>
  </si>
  <si>
    <t>humiSteam X-plus 10 kg/h, 230Vac 3~, with regulation, cleanable cylinder</t>
  </si>
  <si>
    <t>humiSteam X-plus 15 kg/h, 230Vac 3~, with regulation, cleanable cylinder</t>
  </si>
  <si>
    <t>humiSteam X-plus 25 kg/h, 230Vac 3~, with regulation, cleanable cylinder</t>
  </si>
  <si>
    <t>humiSteam X-plus 35 kg/h, 230Vac 3~, with regulation, cleanable cylinder</t>
  </si>
  <si>
    <t>humiSteam X-plus 45 kg/h, 230Vac 3~, with regulation, cleanable cylinder</t>
  </si>
  <si>
    <t>humiSteam X-plus 3 kg/h, 400Vac 3~, with regulation, cleanable cylinder</t>
  </si>
  <si>
    <t>humiSteam X-plus 5 kg/h, 400Vac 3~, with regulation, cleanable cylinder</t>
  </si>
  <si>
    <t>humiSteam X-plus 8 kg/h, 400Vac 3~, with regulation, cleanable cylinder</t>
  </si>
  <si>
    <t>heaterSteam 40 kg/h , 230Vac 3~, EIN/AUS-Betrieb oder proportional Regelung, Grundversion</t>
  </si>
  <si>
    <t>heaterSteam 40 kg/h , 400Vac 3~, EIN/AUS-Betrieb oder proportional Regelung, Grundversion</t>
  </si>
  <si>
    <t>heaterSteam 40 kg/h , 460Vac 3~, EIN/AUS-Betrieb oder proportional Regelung, Grundversion</t>
  </si>
  <si>
    <t>heaterSteam 40 kg/h , 575Vac 3~, EIN/AUS-Betrieb oder proportional Regelung, Grundversion</t>
  </si>
  <si>
    <t>heaterSteam 40 kg/h , 208Vac 3~, EIN/AUS-Betrieb oder proportional Regelung, Grundversion</t>
  </si>
  <si>
    <t>heaterSteam 40 kg/h , 230Vac 3~, mit Feuchte-Regelung, Grundversion</t>
  </si>
  <si>
    <t>heaterSteam 40 kg/h , 575Vac 3~, mit Feuchte-Regelung, Grundversion</t>
  </si>
  <si>
    <t>heaterSteam 40 kg/h , 208Vac 3~, mit Feuchte-Regelung, Grundversion</t>
  </si>
  <si>
    <t>heaterSteam 60 kg/h , 230Vac 3~, EIN/AUS-Betrieb oder proportional Regelung, Grundversion</t>
  </si>
  <si>
    <t>heaterSteam 60 kg/h , 400Vac 3~, EIN/AUS-Betrieb oder proportional Regelung, Grundversion</t>
  </si>
  <si>
    <t>heaterSteam 60 kg/h , 460Vac 3~, EIN/AUS-Betrieb oder proportional Regelung, Grundversion</t>
  </si>
  <si>
    <t>heaterSteam 60 kg/h , 575Vac 3~, EIN/AUS-Betrieb oder proportional Regelung, Grundversion</t>
  </si>
  <si>
    <t>heaterSteam 60 kg/h , 208Vac 3~, EIN/AUS-Betrieb oder proportional Regelung, Grundversion</t>
  </si>
  <si>
    <t>heaterSteam 60 kg/h , 230Vac 3~, mit Feuchte-Regelung, Grundversion</t>
  </si>
  <si>
    <t>heaterSteam 60 kg/h , 575Vac 3~, mit Feuchte-Regelung, Grundversion</t>
  </si>
  <si>
    <t>heaterSteam 60 kg/h , 208Vac 3~, mit Feuchte-Regelung, Grundversion</t>
  </si>
  <si>
    <t>heaterSteam 2 kg/h , 230Vac 1~, EIN/AUS-Betrieb oder proportional Regelung, Vollversion</t>
  </si>
  <si>
    <t>heaterSteam 2 kg/h , 208Vac 1~, EIN/AUS-Betrieb oder proportional Regelung, Vollversion</t>
  </si>
  <si>
    <t>heaterSteam 2 kg/h , 208Vac 1~, mit Feuchte-Regelung, Vollversion</t>
  </si>
  <si>
    <t>heaterSteam 4 kg/h , 230Vac 1~, EIN/AUS-Betrieb oder proportional Regelung, Vollversion</t>
  </si>
  <si>
    <t>humiSteam X-plus 10 kg/h, 400Vac 3~, with regulation, cleanable cylinder</t>
  </si>
  <si>
    <t>humiSteam X-plus 15 kg/h, 400Vac 3~, with regulation, cleanable cylinder</t>
  </si>
  <si>
    <t>humiSteam X-plus 18 kg/h, 400Vac 3~, with regulation, cleanable cylinder</t>
  </si>
  <si>
    <t>humiSteam X-plus 25 kg/h, 400Vac 3~, with regulation, cleanable cylinder</t>
  </si>
  <si>
    <t>humiSteam X-plus 35 kg/h, 400Vac 3~, with regulation, cleanable cylinder</t>
  </si>
  <si>
    <t>humiSteam X-plus 45 kg/h, 400Vac 3~, with regulation, cleanable cylinder</t>
  </si>
  <si>
    <t>humiSteam X-plus 65 kg/h, 400Vac 3~, with regulation, cleanable cylinder</t>
  </si>
  <si>
    <t>humiSteam X-plus 90 kg/h, 400Vac 3~, with regulation, cleanable cylinder</t>
  </si>
  <si>
    <t>humiSteam X-plus 130 kg/h, 400Vac 3~, with regulation, cleanable cylinder</t>
  </si>
  <si>
    <t>humiSteam X-plus 3 kg/h, 460Vac 3~, with regulation, cleanable cylinder</t>
  </si>
  <si>
    <t>humiSteam X-plus 5 kg/h, 460Vac 3~, with regulation, cleanable cylinder</t>
  </si>
  <si>
    <t>humiSteam X-plus 8 kg/h, 460Vac 3~, with regulation, cleanable cylinder</t>
  </si>
  <si>
    <t>humiSteam X-plus 10 kg/h, 460Vac 3~, with regulation, cleanable cylinder</t>
  </si>
  <si>
    <t>humiSteam X-plus 15 kg/h, 460Vac 3~, with regulation, cleanable cylinder</t>
  </si>
  <si>
    <t>humiSteam X-plus 65 kg/h, 460Vac 3~, mit Feuchte-Regelung, Reinigungsfähig-Dampfzylinder</t>
  </si>
  <si>
    <t>humiSteam X-plus 65 kg/h, 575Vac 3~, mit Feuchte-Regelung, Reinigungsfähig-Dampfzylinder</t>
  </si>
  <si>
    <t>humiSteam X-plus 90 kg/h, 400Vac 3~, mit Feuchte-Regelung, Reinigungsfähig-Dampfzylinder</t>
  </si>
  <si>
    <t>humiSteam X-plus 90 kg/h, 460Vac 3~, mit Feuchte-Regelung, Reinigungsfähig-Dampfzylinder</t>
  </si>
  <si>
    <t>humiSteam X-plus 90 kg/h, 575Vac 3~, mit Feuchte-Regelung, Reinigungsfähig-Dampfzylinder</t>
  </si>
  <si>
    <t>heaterSteam 60 kg/h , 575Vac 3~, avec régulateur, version toutes options</t>
  </si>
  <si>
    <t>heaterSteam 6 kg/h, 208V 3~, ON/OFF o proporzionale, versione full optional</t>
  </si>
  <si>
    <t>heaterSteam 6 kg/h , 208Vac 3~, ON/OFF or proportional, full optional version</t>
  </si>
  <si>
    <t>heaterSteam 10 kg/h, 208V 3~, ON/OFF o proporzionale, versione base</t>
  </si>
  <si>
    <t>heaterSteam 10 kg/h , 208Vac 3~, ON/OFF or proportional, basic version</t>
  </si>
  <si>
    <t>heaterSteam 10 kg/h, 208V 3~, ON/OFF o proporzionale, versione full optional</t>
  </si>
  <si>
    <t>heaterSteam 10 kg/h , 208Vac 3~, ON/OFF or proportional, full optional version</t>
  </si>
  <si>
    <t>heaterSteam 20 kg/h, 208V 3~, ON/OFF o proporzionale, versione base</t>
  </si>
  <si>
    <t>heaterSteam 20 kg/h , 208Vac 3~, ON/OFF or proportional, basic version</t>
  </si>
  <si>
    <t>heaterSteam 20 kg/h, 208V 3~, ON/OFF o proporzionale, versione full optional</t>
  </si>
  <si>
    <t>heaterSteam 20 kg/h , 208Vac 3~, ON/OFF or proportional, full optional version</t>
  </si>
  <si>
    <t>heaterSteam 27 kg/h, 208V 3~, ON/OFF o proporzionale, versione base</t>
  </si>
  <si>
    <t>heaterSteam 27 kg/h , 208Vac 3~, ON/OFF or proportional, basic version</t>
  </si>
  <si>
    <t>heaterSteam 27 kg/h, 208V 3~, ON/OFF o proporzionale, versione full optional</t>
  </si>
  <si>
    <t>heaterSteam 27 kg/h , 208Vac 3~, ON/OFF or proportional, full optional version</t>
  </si>
  <si>
    <t>heaterSteam 40 kg/h, 208V 3~, ON/OFF o proporzionale, versione base</t>
  </si>
  <si>
    <t>heaterSteam 40 kg/h , 208Vac 3~, ON/OFF or proportional, basic version</t>
  </si>
  <si>
    <t>heaterSteam 40 kg/h, 208V 3~, ON/OFF o proporzionale, versione full optional</t>
  </si>
  <si>
    <t>heaterSteam 40 kg/h , 208Vac 3~, ON/OFF or proportional, full optional version</t>
  </si>
  <si>
    <t>heaterSteam 60 kg/h, 208V 3~, ON/OFF o proporzionale, versione base</t>
  </si>
  <si>
    <t>heaterSteam 60 kg/h , 208Vac 3~, ON/OFF or proportional, basic version</t>
  </si>
  <si>
    <t>heaterSteam 60 kg/h, 208V 3~, ON/OFF o proporzionale, versione full optional</t>
  </si>
  <si>
    <t>heaterSteam 60 kg/h , 208Vac 3~, ON/OFF or proportional, full optional version</t>
  </si>
  <si>
    <t>heaterSteam 6 kg/h, 230V 3~, ON/OFF o proporzionale, versione base</t>
  </si>
  <si>
    <t>heaterSteam 6 kg/h , 230Vac 3~, ON/OFF or proportional, basic version</t>
  </si>
  <si>
    <t>heaterSteam 6 kg/h, 230V 3~, ON/OFF o proporzionale, versione full optional</t>
  </si>
  <si>
    <t>heaterSteam 6 kg/h , 230Vac 3~, ON/OFF or proportional, full optional version</t>
  </si>
  <si>
    <t>heaterSteam 10 kg/h, 230V 3~, ON/OFF o proporzionale, versione base</t>
  </si>
  <si>
    <t>heaterSteam 10 kg/h , 230Vac 3~, ON/OFF or proportional, basic version</t>
  </si>
  <si>
    <t>heaterSteam 10 kg/h, 230V 3~, ON/OFF o proporzionale, versione full optional</t>
  </si>
  <si>
    <t>heaterSteam 10 kg/h , 230Vac 3~, ON/OFF or proportional, full optional version</t>
  </si>
  <si>
    <t>heaterSteam 20 kg/h, 230V 3~, ON/OFF o proporzionale, versione base</t>
  </si>
  <si>
    <t>heaterSteam 20 kg/h , 230Vac 3~, ON/OFF or proportional, basic version</t>
  </si>
  <si>
    <t>heaterSteam 20 kg/h, 230V 3~, ON/OFF o proporzionale, versione full optional</t>
  </si>
  <si>
    <t>heaterSteam 20 kg/h , 230Vac 3~, ON/OFF or proportional, full optional version</t>
  </si>
  <si>
    <t>heaterSteam 27 kg/h, 230V 3~, ON/OFF o proporzionale, versione base</t>
  </si>
  <si>
    <t>heaterSteam 27 kg/h , 230Vac 3~, ON/OFF or proportional, basic version</t>
  </si>
  <si>
    <t>heaterSteam 27 kg/h, 230V 3~, ON/OFF o proporzionale, versione full optional</t>
  </si>
  <si>
    <t>heaterSteam 27 kg/h , 230Vac 3~, ON/OFF or proportional, full optional version</t>
  </si>
  <si>
    <t>heaterSteam 40 kg/h, 230V 3~, ON/OFF o proporzionale, versione base</t>
  </si>
  <si>
    <t>heaterSteam 20 kg/h, 208V 3~, regulación integrada, versión básica</t>
  </si>
  <si>
    <t>heaterSteam 20 kg/h, 208V 3~, regulación integrada, versión con todas las opciones</t>
  </si>
  <si>
    <t>heaterSteam 27 kg/h, 230V 3~, todo/nada o proporcional, versión básica</t>
  </si>
  <si>
    <t>heaterSteam 27 kg/h, 230V 3~, todo/nada o proporcional, versión con todas las opciones</t>
  </si>
  <si>
    <t>heaterSteam 60 kg/h , 575Vac 3~, ON/OFF or proportional, basic version</t>
  </si>
  <si>
    <t>heaterSteam 60 kg/h, 575V 3~, ON/OFF o proporzionale, versione full optional</t>
  </si>
  <si>
    <t>heaterSteam 60 kg/h , 575Vac 3~, ON/OFF or proportional, full optional version</t>
  </si>
  <si>
    <t>heaterSteam 20 kg/h , 400Vac 3~, EIN/AUS-Betrieb oder proportional Regelung, Grundversion</t>
  </si>
  <si>
    <t>heaterSteam 2 kg/h , 230Vac 1~, ON/OFF ou proportionnel, version de base</t>
  </si>
  <si>
    <t>heaterSteam 2 kg/h , 208Vac 1~, ON/OFF ou proportionnel, version de base</t>
  </si>
  <si>
    <t>heaterSteam 6 kg/h , 400Vac 3~, EIN/AUS-Betrieb oder proportional Regelung, Vollversion</t>
  </si>
  <si>
    <t>heaterSteam 60 kg/h , 208Vac 3~, avec régulateur, version toutes options</t>
  </si>
  <si>
    <t>Tension non disponible pour le modèle choisi</t>
  </si>
  <si>
    <t>Höhe ü.d.M.</t>
  </si>
  <si>
    <t>Fehler Höheneingabe</t>
  </si>
  <si>
    <t>Luft nach dem Befeuchter</t>
  </si>
  <si>
    <t>relative Feuchte</t>
  </si>
  <si>
    <t>Temperatur</t>
  </si>
  <si>
    <t>absolute Feuchte</t>
  </si>
  <si>
    <t>Differenz x2-x1</t>
  </si>
  <si>
    <t>Das folgende Diagramm wird die Enthalpie-Veränderung durch die adiabate Befeuchtung in roter Farbe dargstellt. Die blauen Linien zeigen die relative Luftfeuchte an und Cyan gibt die konstante Enthalpien an.</t>
  </si>
  <si>
    <t>Kanal</t>
  </si>
  <si>
    <t>Innere Kanalbreite C1</t>
  </si>
  <si>
    <t>Innere Kanalhöhe C2</t>
  </si>
  <si>
    <t>Luftvolumenstrom V</t>
  </si>
  <si>
    <t>Muftmassenstrom m</t>
  </si>
  <si>
    <t>Luftgeschwindigkeit</t>
  </si>
  <si>
    <t>Gesamt-Wassermenge</t>
  </si>
  <si>
    <t>Innere Kanalbreite C1 zu klein</t>
  </si>
  <si>
    <t>Innere Kanalhöhe C2 zu klein</t>
  </si>
  <si>
    <t>Fehler</t>
  </si>
  <si>
    <t>aktiver Kanalfühler</t>
  </si>
  <si>
    <t>Anzahl</t>
  </si>
  <si>
    <t>Beschreibung</t>
  </si>
  <si>
    <t>GESAMT</t>
  </si>
  <si>
    <t>Gewünscht? (Ja oder Nein)</t>
  </si>
  <si>
    <t>(Ja/Nein)</t>
  </si>
  <si>
    <t>Gesamt Listenpreis</t>
  </si>
  <si>
    <t>Ja</t>
  </si>
  <si>
    <t>Nein</t>
  </si>
  <si>
    <t>Rabatt</t>
  </si>
  <si>
    <t>Temperatur- (0-50°C) und Feuchtefühler (10-90% r.F.)</t>
  </si>
  <si>
    <t>Temperatur- (-10-50°C) und Feuchtefühler (0-100% r.F.)</t>
  </si>
  <si>
    <t>Feuchtefühler (10-90% r.F.)</t>
  </si>
  <si>
    <t>Feuchtefühler (0-100% r.F.)</t>
  </si>
  <si>
    <t>Preis</t>
  </si>
  <si>
    <t>Befeuchter</t>
  </si>
  <si>
    <t>Dampfverteiler</t>
  </si>
  <si>
    <t>Dampfschlauch</t>
  </si>
  <si>
    <t>Ablaufschlauch</t>
  </si>
  <si>
    <t>Vorschlag</t>
  </si>
  <si>
    <t>Bezeichnung Befeuchter</t>
  </si>
  <si>
    <t>Befeuchterauswahl</t>
  </si>
  <si>
    <t>Y-Verteiler für Dampfschlauch</t>
  </si>
  <si>
    <t>Schritt 1</t>
  </si>
  <si>
    <t>Schritt 2</t>
  </si>
  <si>
    <t>Schritt 3</t>
  </si>
  <si>
    <t>Nummer des Verteilers im Kanal</t>
  </si>
  <si>
    <t>Befeuchtungsleistung (kg/h)</t>
  </si>
  <si>
    <t>Maximale Leistung pro Verteiler</t>
  </si>
  <si>
    <t>Länge des Verteilers (mm)</t>
  </si>
  <si>
    <t>Befeuchtungsstrecke (m)</t>
  </si>
  <si>
    <t>Die Befeuchtungsstrecke wurde nach Gundacker berechnet.</t>
  </si>
  <si>
    <t>Die Dampflanze ist länger als die Kanalbreite!</t>
  </si>
  <si>
    <t>Die Befeuchtungsleistung ist zu groß um sie mit der längsten Dampflanze in die Luft einzubringen.</t>
  </si>
  <si>
    <t>humiSteam Basic 8 kg/h, 460V 3~, ON/OFF ou proportionnel, cylindre ouvrant</t>
  </si>
  <si>
    <t>humiSteam Basic 8 kg/h, 575V 3~, ON/OFF ou proportionnel, cylindre ouvrant</t>
  </si>
  <si>
    <t>humiSteam Basic 8 kg/h, 208V 3~, ON/OFF ou proportionnel, cylindre ouvrant</t>
  </si>
  <si>
    <t>humiSteam Basic 9 kg/h, 230V 1~, ON/OFF ou proportionnel, cylindre ouvrant</t>
  </si>
  <si>
    <t>humiSteam Basic 9 kg/h, 208V 1~, ON/OFF ou proportionnel, cylindre ouvrant</t>
  </si>
  <si>
    <t>humiSteam Basic 10 kg/h, 230V 3~, ON/OFF ou proportionnel, cylindre ouvrant</t>
  </si>
  <si>
    <t>humiSteam Basic 10 kg/h, 400V 3~, ON/OFF ou proportionnel, cylindre ouvrant</t>
  </si>
  <si>
    <t>humiSteam Basic 10 kg/h, 460V 3~, ON/OFF ou proportionnel, cylindre ouvrant</t>
  </si>
  <si>
    <t>humiSteam Basic 10 kg/h, 575V 3~, ON/OFF ou proportionnel, cylindre ouvrant</t>
  </si>
  <si>
    <t>humiSteam Basic 10 kg/h, 208V 3~, ON/OFF ou proportionnel, cylindre ouvrant</t>
  </si>
  <si>
    <t>humiSteam Basic 15 kg/h, 230V 3~, ON/OFF ou proportionnel, cylindre ouvrant</t>
  </si>
  <si>
    <t>humiSteam Basic 15 kg/h, 400V 3~, ON/OFF ou proportionnel, cylindre ouvrant</t>
  </si>
  <si>
    <t>humiSteam Basic 15 kg/h, 460V 3~, ON/OFF ou proportionnel, cylindre ouvrant</t>
  </si>
  <si>
    <t>humiSteam Basic 15 kg/h, 575V 3~, ON/OFF ou proportionnel, cylindre ouvrant</t>
  </si>
  <si>
    <t>humiSteam Basic 15 kg/h, 208V 3~, ON/OFF ou proportionnel, cylindre ouvrant</t>
  </si>
  <si>
    <t>humiSteam Basic 18 kg/h, 400V 3~, ON/OFF ou proportionnel, cylindre ouvrant</t>
  </si>
  <si>
    <t>humiSteam Basic 18 kg/h, 460V 3~, ON/OFF ou proportionnel, cylindre ouvrant</t>
  </si>
  <si>
    <t>humiSteam Basic 18 kg/h, 575V 3~, ON/OFF ou proportionnel, cylindre ouvrant</t>
  </si>
  <si>
    <t>humiSteam Basic 25 kg/h, 230V 3~, ON/OFF ou proportionnel, cylindre ouvrant</t>
  </si>
  <si>
    <t>humiSteam Basic 25 kg/h, 400V 3~, ON/OFF ou proportionnel, cylindre ouvrant</t>
  </si>
  <si>
    <t>humiSteam Basic 25 kg/h, 460V 3~, ON/OFF ou proportionnel, cylindre ouvrant</t>
  </si>
  <si>
    <t>humiSteam Basic 25 kg/h, 575V 3~, ON/OFF ou proportionnel, cylindre ouvrant</t>
  </si>
  <si>
    <t>humiSteam Basic 25 kg/h, 208V 3~, ON/OFF ou proportionnel, cylindre ouvrant</t>
  </si>
  <si>
    <t>humiSteam Basic 35 kg/h, 230V 3~, ON/OFF ou proportionnel, cylindre ouvrant</t>
  </si>
  <si>
    <t>humiSteam Basic 35 kg/h, 400V 3~, ON/OFF ou proportionnel, cylindre ouvrant</t>
  </si>
  <si>
    <t>humiSteam Basic 35 kg/h, 460V 3~, ON/OFF ou proportionnel, cylindre ouvrant</t>
  </si>
  <si>
    <t>humiSteam Basic 35 kg/h, 575V 3~, ON/OFF ou proportionnel, cylindre ouvrant</t>
  </si>
  <si>
    <t>humiSteam Basic 35 kg/h, 208V 3~, ON/OFF ou proportionnel, cylindre ouvrant</t>
  </si>
  <si>
    <t>humiSteam Basic 45 kg/h, 230V 3~, ON/OFF ou proportionnel, cylindre ouvrant</t>
  </si>
  <si>
    <t>humiSteam Basic 45 kg/h, 400V 3~, ON/OFF ou proportionnel, cylindre ouvrant</t>
  </si>
  <si>
    <t>humiSteam Basic 45 kg/h, 460V 3~, ON/OFF ou proportionnel, cylindre ouvrant</t>
  </si>
  <si>
    <t>humiSteam Basic 35 kg/h, 400V 3~, ON/OFF or proportional, cleanable cylinder</t>
  </si>
  <si>
    <t>humiSteam Basic 45 kg/h, 400V 3~, ON/OFF or proportional, cleanable cylinder</t>
  </si>
  <si>
    <t>humiSteam Basic 65 kg/h, 400V 3~, ON/OFF or proportional, cleanable cylinder</t>
  </si>
  <si>
    <t>humiSteam Basic 3 kg/h, 208V 3~, ON/OFF or proportional, cleanable cylinder</t>
  </si>
  <si>
    <t>humiSteam Basic 5 kg/h, 208V 3~, ON/OFF or proportional, cleanable cylinder</t>
  </si>
  <si>
    <t>humiSteam Basic 8 kg/h, 208V 3~, ON/OFF or proportional, cleanable cylinder</t>
  </si>
  <si>
    <t>humiSteam Basic 10 kg/h, 208V 3~, ON/OFF or proportional, cleanable cylinder</t>
  </si>
  <si>
    <t>humiSteam Basic 10 kg/h, 208V 3~, EIN/AUS-Betrieb oder proportional Regelung, Einweg-Dampfzylinder</t>
  </si>
  <si>
    <t>Psat fin</t>
  </si>
  <si>
    <t>x finale</t>
  </si>
  <si>
    <t>P atm</t>
  </si>
  <si>
    <t>x sat</t>
  </si>
  <si>
    <t>t finale</t>
  </si>
  <si>
    <t>umi spec in kg/kg</t>
  </si>
  <si>
    <t>eff sat</t>
  </si>
  <si>
    <t>Air velocity m/sec</t>
  </si>
  <si>
    <t>Input</t>
  </si>
  <si>
    <t>Output</t>
  </si>
  <si>
    <t>No. of distributors in the duct</t>
  </si>
  <si>
    <t>heaterSteam 27 kg/h, 400V 3~, todo/nada o proporcional, versión con todas las opciones</t>
  </si>
  <si>
    <t>heaterSteam 27 kg/h, 460V 3~, todo/nada o proporcional, versión básica</t>
  </si>
  <si>
    <t>heaterSteam 27 kg/h, 460V 3~, todo/nada o proporcional, versión con todas las opciones</t>
  </si>
  <si>
    <t>heaterSteam 27 kg/h, 575V 3~, todo/nada o proporcional, versión básica</t>
  </si>
  <si>
    <t>heaterSteam 27 kg/h, 575V 3~, todo/nada o proporcional, versión con todas las opciones</t>
  </si>
  <si>
    <t>heaterSteam 27 kg/h, 208V 3~, todo/nada o proporcional, versión básica</t>
  </si>
  <si>
    <t>heaterSteam 27 kg/h, 208V 3~, todo/nada o proporcional, versión con todas las opciones</t>
  </si>
  <si>
    <t>heaterSteam 27 kg/h, 575V 3~, regulación integrada, versión básica</t>
  </si>
  <si>
    <t>heaterSteam 27 kg/h, 575V 3~, regulación integrada, versión con todas las opciones</t>
  </si>
  <si>
    <t>heaterSteam 27 kg/h, 208V 3~, regulación integrada, versión básica</t>
  </si>
  <si>
    <t>heaterSteam 27 kg/h, 208V 3~, regulación integrada, versión con todas las opciones</t>
  </si>
  <si>
    <t>heaterSteam 40 kg/h, 230V 3~, todo/nada o proporcional, versión básica</t>
  </si>
  <si>
    <t>heaterSteam 40 kg/h, 230V 3~, todo/nada o proporcional, versión con todas las opciones</t>
  </si>
  <si>
    <t>heaterSteam 40 kg/h, 400V 3~, todo/nada o proporcional, versión básica</t>
  </si>
  <si>
    <t>heaterSteam 40 kg/h, 400V 3~, todo/nada o proporcional, versión con todas las opciones</t>
  </si>
  <si>
    <t>heaterSteam 40 kg/h, 460V 3~, todo/nada o proporcional, versión básica</t>
  </si>
  <si>
    <t>heaterSteam 40 kg/h, 460V 3~, todo/nada o proporcional, versión con todas las opciones</t>
  </si>
  <si>
    <t>heaterSteam 40 kg/h, 575V 3~, todo/nada o proporcional, versión básica</t>
  </si>
  <si>
    <t>heaterSteam 40 kg/h, 575V 3~, todo/nada o proporcional, versión con todas las opciones</t>
  </si>
  <si>
    <t>heaterSteam 40 kg/h, 208V 3~, todo/nada o proporcional, versión básica</t>
  </si>
  <si>
    <t>heaterSteam 40 kg/h, 208V 3~, todo/nada o proporcional, versión con todas las opciones</t>
  </si>
  <si>
    <t>heaterSteam 40 kg/h, 230V 3~, regulación integrada, versión básica</t>
  </si>
  <si>
    <t>heaterSteam 40 kg/h, 230V 3~, regulación integrada, versión con todas las opciones</t>
  </si>
  <si>
    <t>heaterSteam 40 kg/h, 575V 3~, regulación integrada, versión básica</t>
  </si>
  <si>
    <t>heaterSteam 40 kg/h, 575V 3~, regulación integrada, versión con todas las opciones</t>
  </si>
  <si>
    <t>heaterSteam 40 kg/h, 208V 3~, regulación integrada, versión básica</t>
  </si>
  <si>
    <t>heaterSteam 40 kg/h, 208V 3~, regulación integrada, versión con todas las opciones</t>
  </si>
  <si>
    <t>heaterSteam 60 kg/h, 230V 3~, todo/nada o proporcional, versión básica</t>
  </si>
  <si>
    <t>heaterSteam 60 kg/h, 230V 3~, todo/nada o proporcional, versión con todas las opciones</t>
  </si>
  <si>
    <t>heaterSteam 60 kg/h, 400V 3~, todo/nada o proporcional, versión básica</t>
  </si>
  <si>
    <t>heaterSteam 60 kg/h, 400V 3~, todo/nada o proporcional, versión con todas las opciones</t>
  </si>
  <si>
    <t>heaterSteam 60 kg/h, 460V 3~, todo/nada o proporcional, versión básica</t>
  </si>
  <si>
    <t>heaterSteam 60 kg/h, 460V 3~, todo/nada o proporcional, versión con todas las opciones</t>
  </si>
  <si>
    <t>heaterSteam 60 kg/h, 575V 3~, todo/nada o proporcional, versión básica</t>
  </si>
  <si>
    <t>heaterSteam 60 kg/h, 575V 3~, todo/nada o proporcional, versión con todas las opciones</t>
  </si>
  <si>
    <t>heaterSteam 60 kg/h, 208V 3~, todo/nada o proporcional, versión básica</t>
  </si>
  <si>
    <t>heaterSteam 60 kg/h, 208V 3~, todo/nada o proporcional, versión con todas las opciones</t>
  </si>
  <si>
    <t>heaterSteam 60 kg/h, 230V 3~, regulación integrada, versión básica</t>
  </si>
  <si>
    <t>heaterSteam 60 kg/h, 230V 3~, regulación integrada, versión con todas las opciones</t>
  </si>
  <si>
    <t>Tubo trasporto vapore con spirale acciaio Ø=30 mm (al metro)</t>
  </si>
  <si>
    <t>uscite</t>
  </si>
  <si>
    <t>d</t>
  </si>
  <si>
    <t>Si/no</t>
  </si>
  <si>
    <t>ASET030001</t>
  </si>
  <si>
    <t>Codice/ descrizione</t>
  </si>
  <si>
    <t>DP030D22RU</t>
  </si>
  <si>
    <t>DP030D30RU</t>
  </si>
  <si>
    <t>DP045D30RU</t>
  </si>
  <si>
    <t>DP060D30RU</t>
  </si>
  <si>
    <t>DP165D30R0</t>
  </si>
  <si>
    <t>DP060D40RU</t>
  </si>
  <si>
    <t>d ingresso (C) mm</t>
  </si>
  <si>
    <t>sezione (B) mm</t>
  </si>
  <si>
    <t>lunghezza (A) mm</t>
  </si>
  <si>
    <t>Quale umidificatore</t>
  </si>
  <si>
    <t>Numero DP</t>
  </si>
  <si>
    <t>Tipo DP</t>
  </si>
  <si>
    <t>Alternativa</t>
  </si>
  <si>
    <t>BASE</t>
  </si>
  <si>
    <t>Cè un DP</t>
  </si>
  <si>
    <t>C'è Y?</t>
  </si>
  <si>
    <t>Codice Y</t>
  </si>
  <si>
    <t>‘Y’ connector for steam hoses (from 1x Ø=40 mm to 2x Ø=40 mm)</t>
  </si>
  <si>
    <t>Raccordo a Y per tubi vapore (da 1x Ø=40 mm a 2x Ø=40 mm)</t>
  </si>
  <si>
    <t>Stainless steel steam distributor, inlet  Ø=40 mm, l = 600 mm</t>
  </si>
  <si>
    <t>ITALIANO</t>
  </si>
  <si>
    <t>ENGLISH</t>
  </si>
  <si>
    <t>FRANCAIS</t>
  </si>
  <si>
    <t xml:space="preserve">Choose your language: </t>
  </si>
  <si>
    <t>DEUTSCH</t>
  </si>
  <si>
    <t>humiSteam Basic 18 kg/h, 400V 3~, ON/OFF or proportional, disposable cylinder</t>
  </si>
  <si>
    <t>humiSteam Basic 18 kg/h, 400V 3~,  ON/OFF o proporzionale, cilindro non apribile</t>
  </si>
  <si>
    <t>humiSteam X-plus 18 kg/h, 400Vac 3~, with regulation, disposable cylinder</t>
  </si>
  <si>
    <t>heaterSteam 20 kg/h , 400Vac 3~, ON/OFF or proportional, basic version</t>
  </si>
  <si>
    <t>heaterSteam 20 kg/h, 400V 3~, ON/OFF o proporzionale, versione base</t>
  </si>
  <si>
    <t>humiSteam X-plus 3 kg/h, 230Vac 3~, avec régulateur, cylindre non ouvrant</t>
  </si>
  <si>
    <t>humiSteam Basic 10 kg/h, 460V 3~, EIN/AUS-Betrieb oder proportional Regelung, Reinigungsfähig-Dampfzylinder</t>
  </si>
  <si>
    <t>humiSteam Basic 10 kg/h, 575V 3~, EIN/AUS-Betrieb oder proportional Regelung, Reinigungsfähig-Dampfzylinder</t>
  </si>
  <si>
    <t>humiSteam Basic 10 kg/h, 208V 3~, EIN/AUS-Betrieb oder proportional Regelung, Reinigungsfähig-Dampfzylinder</t>
  </si>
  <si>
    <t>humiSteam Basic 15 kg/h, 230V 3~, EIN/AUS-Betrieb oder proportional Regelung, Reinigungsfähig-Dampfzylinder</t>
  </si>
  <si>
    <t>humiSteam Basic 15 kg/h, 400V 3~, EIN/AUS-Betrieb oder proportional Regelung, Reinigungsfähig-Dampfzylinder</t>
  </si>
  <si>
    <t>humiSteam Basic 15 kg/h, 460V 3~, EIN/AUS-Betrieb oder proportional Regelung, Reinigungsfähig-Dampfzylinder</t>
  </si>
  <si>
    <t>humiSteam Basic 15 kg/h, 575V 3~, EIN/AUS-Betrieb oder proportional Regelung, Reinigungsfähig-Dampfzylinder</t>
  </si>
  <si>
    <t>humiSteam Basic 15 kg/h, 208V 3~, EIN/AUS-Betrieb oder proportional Regelung, Reinigungsfähig-Dampfzylinder</t>
  </si>
  <si>
    <t>humiSteam Basic 18 kg/h, 400V 3~, EIN/AUS-Betrieb oder proportional Regelung, Reinigungsfähig-Dampfzylinder</t>
  </si>
  <si>
    <t>humiSteam Basic 18 kg/h, 460V 3~, EIN/AUS-Betrieb oder proportional Regelung, Reinigungsfähig-Dampfzylinder</t>
  </si>
  <si>
    <t>humiSteam Basic 18 kg/h, 575V 3~, EIN/AUS-Betrieb oder proportional Regelung, Reinigungsfähig-Dampfzylinder</t>
  </si>
  <si>
    <t>humiSteam Basic 25 kg/h, 230V 3~, EIN/AUS-Betrieb oder proportional Regelung, Reinigungsfähig-Dampfzylinder</t>
  </si>
  <si>
    <t>humiSteam Basic 25 kg/h, 400V 3~, EIN/AUS-Betrieb oder proportional Regelung, Reinigungsfähig-Dampfzylinder</t>
  </si>
  <si>
    <t>humiSteam Basic 25 kg/h, 460V 3~, EIN/AUS-Betrieb oder proportional Regelung, Reinigungsfähig-Dampfzylinder</t>
  </si>
  <si>
    <t>humiSteam Basic 25 kg/h, 575V 3~, EIN/AUS-Betrieb oder proportional Regelung, Reinigungsfähig-Dampfzylinder</t>
  </si>
  <si>
    <t>humiSteam Basic 25 kg/h, 208V 3~, EIN/AUS-Betrieb oder proportional Regelung, Reinigungsfähig-Dampfzylinder</t>
  </si>
  <si>
    <t>humiSteam Basic 35 kg/h, 230V 3~, EIN/AUS-Betrieb oder proportional Regelung, Reinigungsfähig-Dampfzylinder</t>
  </si>
  <si>
    <t>humiSteam Basic 35 kg/h, 400V 3~, EIN/AUS-Betrieb oder proportional Regelung, Reinigungsfähig-Dampfzylinder</t>
  </si>
  <si>
    <t>humiSteam Basic 35 kg/h, 460V 3~, EIN/AUS-Betrieb oder proportional Regelung, Reinigungsfähig-Dampfzylinder</t>
  </si>
  <si>
    <t>humiSteam Basic 35 kg/h, 575V 3~, EIN/AUS-Betrieb oder proportional Regelung, Reinigungsfähig-Dampfzylinder</t>
  </si>
  <si>
    <t>humiSteam Basic 35 kg/h, 208V 3~, EIN/AUS-Betrieb oder proportional Regelung, Reinigungsfähig-Dampfzylinder</t>
  </si>
  <si>
    <t>humiSteam Basic 45 kg/h, 230V 3~, EIN/AUS-Betrieb oder proportional Regelung, Reinigungsfähig-Dampfzylinder</t>
  </si>
  <si>
    <t>humiSteam Basic 45 kg/h, 400V 3~, EIN/AUS-Betrieb oder proportional Regelung, Reinigungsfähig-Dampfzylinder</t>
  </si>
  <si>
    <t>humiSteam Basic 45 kg/h, 460V 3~, EIN/AUS-Betrieb oder proportional Regelung, Reinigungsfähig-Dampfzylinder</t>
  </si>
  <si>
    <t>humiSteam Basic 45 kg/h, 575V 3~, EIN/AUS-Betrieb oder proportional Regelung, Reinigungsfähig-Dampfzylinder</t>
  </si>
  <si>
    <t>humiSteam Basic 45 kg/h, 208V 3~, EIN/AUS-Betrieb oder proportional Regelung, Reinigungsfähig-Dampfzylinder</t>
  </si>
  <si>
    <t>humiSteam Basic 65 kg/h, 400V 3~, EIN/AUS-Betrieb oder proportional Regelung, Reinigungsfähig-Dampfzylinder</t>
  </si>
  <si>
    <t>humiSteam Basic 65 kg/h, 460V 3~, EIN/AUS-Betrieb oder proportional Regelung, Reinigungsfähig-Dampfzylinder</t>
  </si>
  <si>
    <t>humiSteam Basic 65 kg/h, 575V 3~, EIN/AUS-Betrieb oder proportional Regelung, Reinigungsfähig-Dampfzylinder</t>
  </si>
  <si>
    <t>humiSteam X-plus 1,5 kg/h, 230Vac 1~, mit Feuchte-Regelung, Reinigungsfähig-Dampfzylinder</t>
  </si>
  <si>
    <t>Distributore di vapore inox, ingresso Ø=22 mm, L = 450 mm</t>
  </si>
  <si>
    <t>Distributore di vapore inox, ingresso Ø=30 mm, L = 450 mm</t>
  </si>
  <si>
    <t>Distributore di vapore inox, ingresso Ø=22 mm, L = 600 mm</t>
  </si>
  <si>
    <t>Distributore di vapore inox, ingresso Ø=30 mm, L = 600 mm</t>
  </si>
  <si>
    <t>Distributore di vapore inox, ingresso Ø=40 mm, L = 600 mm</t>
  </si>
  <si>
    <t>Distributore di vapore inox, ingresso Ø=22 mm, L = 850 mm</t>
  </si>
  <si>
    <t>Distributore di vapore inox, ingresso Ø=30 mm, L = 850 mm</t>
  </si>
  <si>
    <t>Stainless steel steam distributor, inlet  Ø=40 mm, l = 850 mm</t>
  </si>
  <si>
    <t>Distributore di vapore inox, ingresso Ø=40 mm, L = 850 mm</t>
  </si>
  <si>
    <t>Distributore di vapore inox, ingresso Ø=30 mm, L = 1.050 mm</t>
  </si>
  <si>
    <t>Stainless steel steam distributor, inlet  Ø=40 mm, l = 1,050 mm</t>
  </si>
  <si>
    <t>Distributore di vapore inox, ingresso Ø=40 mm, L = 1.050 mm</t>
  </si>
  <si>
    <t>Distributore di vapore inox, ingresso Ø=30 mm, L = 1.250 mm</t>
  </si>
  <si>
    <t>Stainless steel steam distributor, inlet  Ø=40 mm, l = 1,250 mm</t>
  </si>
  <si>
    <t>Distributore di vapore inox, ingresso Ø=40 mm, L = 1.250 mm</t>
  </si>
  <si>
    <t>Stainless steel steam distributor, inlet  Ø=30 mm, l = 1.650 mm</t>
  </si>
  <si>
    <t>Distributore di vapore inox, ingresso Ø=30 mm, L = 1.650 mm</t>
  </si>
  <si>
    <t>Stainless steel steam distributor, inlet  Ø=40 mm, l = 1,650 mm</t>
  </si>
  <si>
    <t>Distributore di vapore inox, ingresso Ø=40 mm, L = 1.650 mm</t>
  </si>
  <si>
    <t>Stainless steel steam distributor, inlet  Ø=40 mm, l = 2,050 mm</t>
  </si>
  <si>
    <t>Distributore di vapore inox, ingresso Ø=40 mm, L = 2.050 mm</t>
  </si>
  <si>
    <t>Tubo carico acqua con valvola antiritorno (incluso da UE065 a UE130)</t>
  </si>
  <si>
    <t>Sonda activa para ambiente industrial: temperatura (-20T70 °C) y humedad (0…100% rH)</t>
  </si>
  <si>
    <t>Sonda activa para conducto: temperatura (-20T70 °C) y humedad (10…90% rH)</t>
  </si>
  <si>
    <t>Sonda activa para conducto: temperatura (-20T70 °C) y humedad (0…100% rH)</t>
  </si>
  <si>
    <t xml:space="preserve">Sonda de temperatura (-30T90 °C) para uso universal </t>
  </si>
  <si>
    <t>humiSteam Basic 18 kg/h, 460V 3~,  ON/OFF o proporzionale, cilindro non apribile</t>
  </si>
  <si>
    <t>humiSteam Basic 18 kg/h, 460V 3~, ON/OFF or proportional, disposable cylinder</t>
  </si>
  <si>
    <t>humiSteam Basic 25 kg/h, 460V 3~,  ON/OFF o proporzionale, cilindro non apribile</t>
  </si>
  <si>
    <t>humiSteam Basic 25 kg/h, 460V 3~, ON/OFF or proportional, disposable cylinder</t>
  </si>
  <si>
    <t>humiSteam Basic 35 kg/h, 460V 3~,  ON/OFF o proporzionale, cilindro non apribile</t>
  </si>
  <si>
    <t>humiSteam Basic 35 kg/h, 460V 3~, ON/OFF or proportional, disposable cylinder</t>
  </si>
  <si>
    <t>humiSteam Basic 45 kg/h, 460V 3~,  ON/OFF o proporzionale, cilindro non apribile</t>
  </si>
  <si>
    <t>humiSteam Basic 45 kg/h, 460V 3~, ON/OFF or proportional, disposable cylinder</t>
  </si>
  <si>
    <t>humiSteam Basic 65 kg/h, 460V 3~,  ON/OFF o proporzionale, cilindro non apribile</t>
  </si>
  <si>
    <t>humiSteam Basic 65 kg/h, 460V 3~, ON/OFF or proportional, disposable cylinder</t>
  </si>
  <si>
    <t>humiSteam Basic 5 kg/h, 575V 3~,  ON/OFF o proporzionale, cilindro non apribile</t>
  </si>
  <si>
    <t>humiSteam Basic 5 kg/h, 575V 3~, ON/OFF or proportional, disposable cylinder</t>
  </si>
  <si>
    <t>humiSteam Basic 8 kg/h, 575V 3~,  ON/OFF o proporzionale, cilindro non apribile</t>
  </si>
  <si>
    <t>humiSteam Basic 8 kg/h, 575V 3~, ON/OFF or proportional, disposable cylinder</t>
  </si>
  <si>
    <t>humiSteam Basic 10 kg/h, 575V 3~,  ON/OFF o proporzionale, cilindro non apribile</t>
  </si>
  <si>
    <t>humiSteam Basic 10 kg/h, 575V 3~, ON/OFF or proportional, disposable cylinder</t>
  </si>
  <si>
    <t>humiSteam Basic 15 kg/h, 575V 3~,  ON/OFF o proporzionale, cilindro non apribile</t>
  </si>
  <si>
    <t>humiSteam Basic 15 kg/h, 575V 3~, ON/OFF or proportional, disposable cylinder</t>
  </si>
  <si>
    <t>humiSteam Basic 18 kg/h, 575V 3~,  ON/OFF o proporzionale, cilindro non apribile</t>
  </si>
  <si>
    <t>heaterSteam 4 kg/h , 208Vac 1~, ON/OFF or proportional, basic version</t>
  </si>
  <si>
    <t>heaterSteam 4 kg/h, 208V 1~, ON/OFF o proporzionale, versione full optional</t>
  </si>
  <si>
    <t>heaterSteam 4 kg/h , 208Vac 1~, ON/OFF or proportional, full optional version</t>
  </si>
  <si>
    <t>heaterSteam 6 kg/h, 208V 1~, ON/OFF o proporzionale, versione base</t>
  </si>
  <si>
    <t>heaterSteam 6 kg/h , 208Vac 1~, ON/OFF or proportional, basic version</t>
  </si>
  <si>
    <t>heaterSteam 6 kg/h, 208V 1~, ON/OFF o proporzionale, versione full optional</t>
  </si>
  <si>
    <t>heaterSteam 6 kg/h , 208Vac 1~, ON/OFF or proportional, full optional version</t>
  </si>
  <si>
    <t>heaterSteam 2 kg/h, 208V 1~, regolazione integrata, versione base</t>
  </si>
  <si>
    <t>heaterSteam 2 kg/h , 208Vac 1~, with regulation, basic version</t>
  </si>
  <si>
    <t>Condizioni finali dell'aria</t>
  </si>
  <si>
    <t>Condizioni dell'aria prima dell'umidificatore</t>
  </si>
  <si>
    <t>humiSteam X-plus 1,5 kg/h, 208Vac 1~, with regulation, disposable cylinder</t>
  </si>
  <si>
    <t>humiSteam X-plus 3 kg/h, 208Vac 1~, with regulation, disposable cylinder</t>
  </si>
  <si>
    <t>humiSteam X-plus 5 kg/h, 208Vac 1~, with regulation, disposable cylinder</t>
  </si>
  <si>
    <t>humiSteam X-plus 9 kg/h, 208Vac 1~, with regulation, disposable cylinder</t>
  </si>
  <si>
    <t>humiSteam X-plus 3 kg/h, 460Vac 3~, with regulation, disposable cylinder</t>
  </si>
  <si>
    <t>humiSteam Basic 8 kg/h, 400V 3~,  todo/nada o proporcional, cilindro no practicable</t>
  </si>
  <si>
    <t>humiSteam Basic 8 kg/h, 400V 3~,  todo/nada o proporcional, cilindro practicable</t>
  </si>
  <si>
    <t>humiSteam Basic 8 kg/h, 460V 3~,  todo/nada o proporcional, cilindro no practicable</t>
  </si>
  <si>
    <t>humiSteam Basic 8 kg/h, 460V 3~,  todo/nada o proporcional, cilindro practicable</t>
  </si>
  <si>
    <t>humiSteam Basic 8 kg/h, 575V 3~,  todo/nada o proporcional, cilindro no practicable</t>
  </si>
  <si>
    <t>humiSteam Basic 8 kg/h, 575V 3~,  todo/nada o proporcional, cilindro practicable</t>
  </si>
  <si>
    <t>humiSteam Basic 8 kg/h, 208V 3~,  todo/nada o proporcional, cilindro no practicable</t>
  </si>
  <si>
    <t>humiSteam Basic 8 kg/h, 208V 3~,  todo/nada o proporcional, cilindro practicable</t>
  </si>
  <si>
    <t>humiSteam Basic 9 kg/h, 230V 1~, todo/nada o proporcional, cilindro no practicable</t>
  </si>
  <si>
    <t>humiSteam Basic 9 kg/h, 230V 1~, todo/nada o proporcional, cilindro practicable</t>
  </si>
  <si>
    <t>humiSteam Basic 9 kg/h, 208V 1~, todo/nada o proporcional, cilindro no practicable</t>
  </si>
  <si>
    <t>humiSteam Basic 9 kg/h, 208V 1~, todo/nada o proporcional, cilindro practicable</t>
  </si>
  <si>
    <t>humiSteam Basic 10 kg/h, 230V 3~,  todo/nada o proporcional, cilindro no practicable</t>
  </si>
  <si>
    <t>humiSteam Basic 10 kg/h, 230V 3~,  todo/nada o proporcional, cilindro practicable</t>
  </si>
  <si>
    <t>humiSteam Basic 10 kg/h, 400V 3~,  todo/nada o proporcional, cilindro no practicable</t>
  </si>
  <si>
    <t>humiSteam Basic 10 kg/h, 400V 3~,  todo/nada o proporcional, cilindro practicable</t>
  </si>
  <si>
    <t>humiSteam Basic 10 kg/h, 460V 3~,  todo/nada o proporcional, cilindro no practicable</t>
  </si>
  <si>
    <t>humiSteam Basic 10 kg/h, 460V 3~,  todo/nada o proporcional, cilindro practicable</t>
  </si>
  <si>
    <t>humiSteam Basic 10 kg/h, 575V 3~,  todo/nada o proporcional, cilindro no practicable</t>
  </si>
  <si>
    <t>humiSteam Basic 10 kg/h, 575V 3~,  todo/nada o proporcional, cilindro practicable</t>
  </si>
  <si>
    <t>humiSteam Basic 10 kg/h, 208V 3~,  todo/nada o proporcional, cilindro no practicable</t>
  </si>
  <si>
    <t>humiSteam Basic 10 kg/h, 208V 3~,  todo/nada o proporcional, cilindro practicable</t>
  </si>
  <si>
    <t>humiSteam X-plus 8 kg/h, 575V 3~, regolazione integrata, cilindro non apribile</t>
  </si>
  <si>
    <t>humiSteam X-plus 10 kg/h, 575V 3~, regolazione integrata, cilindro non apribile</t>
  </si>
  <si>
    <t>heaterSteam 60 kg/h , 400Vac 3~, ON/OFF or proportional, full optional version</t>
  </si>
  <si>
    <t>humiSteam Basic 25 kg/h, 400V 3~,  ON/OFF o proporzionale, cilindro apribile</t>
  </si>
  <si>
    <t>humiSteam Basic 35 kg/h, 400V 3~,  ON/OFF o proporzionale, cilindro apribile</t>
  </si>
  <si>
    <t>humiSteam Basic 45 kg/h, 400V 3~,  ON/OFF o proporzionale, cilindro apribile</t>
  </si>
  <si>
    <t>humiSteam Basic 65 kg/h, 400V 3~,  ON/OFF o proporzionale, cilindro apribile</t>
  </si>
  <si>
    <t>humiSteam Basic 3 kg/h, 208V 3~,  ON/OFF o proporzionale, cilindro apribile</t>
  </si>
  <si>
    <t>heaterSteam 6 kg/h, 575V 3~, regolazione integrata, versione base</t>
  </si>
  <si>
    <t>heaterSteam 6 kg/h , 575Vac 3~, with regulation, basic version</t>
  </si>
  <si>
    <t>heaterSteam 6 kg/h, 575V 3~, regolazione integrata, versione full optional</t>
  </si>
  <si>
    <t>heaterSteam 6 kg/h , 575Vac 3~, with regulation, full optional version</t>
  </si>
  <si>
    <t>heaterSteam 10 kg/h, 575V 3~, regolazione integrata, versione base</t>
  </si>
  <si>
    <t>heaterSteam 10 kg/h , 575Vac 3~, with regulation, basic version</t>
  </si>
  <si>
    <t>heaterSteam 10 kg/h, 575V 3~, regolazione integrata, versione full optional</t>
  </si>
  <si>
    <t>heaterSteam 10 kg/h , 575Vac 3~, with regulation, full optional version</t>
  </si>
  <si>
    <t>heaterSteam 20 kg/h, 575V 3~, regolazione integrata, versione base</t>
  </si>
  <si>
    <t>heaterSteam 20 kg/h , 575Vac 3~, with regulation, basic version</t>
  </si>
  <si>
    <t>humiSteam X-plus 130 kg/h, 575Vac 3~, mit Feuchte-Regelung, Einweg-Dampfzylinder</t>
  </si>
  <si>
    <t>heaterSteam 2 kg/h , 230Vac 1~, EIN/AUS-Betrieb oder proportional Regelung, Grundversion</t>
  </si>
  <si>
    <t>heaterSteam 2 kg/h , 208Vac 1~, EIN/AUS-Betrieb oder proportional Regelung, Grundversion</t>
  </si>
  <si>
    <t>heaterSteam 2 kg/h , 208Vac 1~, mit Feuchte-Regelung, Grundversion</t>
  </si>
  <si>
    <t>humiSteam X-plus 9 kg/h, 208Vac 1~, mit Feuchte-Regelung, Reinigungsfähig-Dampfzylinder</t>
  </si>
  <si>
    <t>humiSteam X-plus 10 kg/h, 230Vac 3~, mit Feuchte-Regelung, Reinigungsfähig-Dampfzylinder</t>
  </si>
  <si>
    <t>humiSteam X-plus 10 kg/h, 400Vac 3~, mit Feuchte-Regelung, Reinigungsfähig-Dampfzylinder</t>
  </si>
  <si>
    <t>humiSteam X-plus 10 kg/h, 460Vac 3~, mit Feuchte-Regelung, Reinigungsfähig-Dampfzylinder</t>
  </si>
  <si>
    <t>humiSteam X-plus 10 kg/h, 575Vac 3~, mit Feuchte-Regelung, Reinigungsfähig-Dampfzylinder</t>
  </si>
  <si>
    <t>humiSteam X-plus 10 kg/h, 208Vac 3~, mit Feuchte-Regelung, Reinigungsfähig-Dampfzylinder</t>
  </si>
  <si>
    <t>humiSteam X-plus 15 kg/h, 230Vac 3~, mit Feuchte-Regelung, Reinigungsfähig-Dampfzylinder</t>
  </si>
  <si>
    <t>humiSteam X-plus 15 kg/h, 400Vac 3~, mit Feuchte-Regelung, Reinigungsfähig-Dampfzylinder</t>
  </si>
  <si>
    <t>humiSteam X-plus 15 kg/h, 460Vac 3~, mit Feuchte-Regelung, Reinigungsfähig-Dampfzylinder</t>
  </si>
  <si>
    <t>humiSteam X-plus 15 kg/h, 575Vac 3~, mit Feuchte-Regelung, Reinigungsfähig-Dampfzylinder</t>
  </si>
  <si>
    <t>humiSteam X-plus 15 kg/h, 208Vac 3~, mit Feuchte-Regelung, Reinigungsfähig-Dampfzylinder</t>
  </si>
  <si>
    <t>humiSteam X-plus 18 kg/h, 400Vac 3~, mit Feuchte-Regelung, Reinigungsfähig-Dampfzylinder</t>
  </si>
  <si>
    <t>humiSteam X-plus 18 kg/h, 460Vac 3~, mit Feuchte-Regelung, Reinigungsfähig-Dampfzylinder</t>
  </si>
  <si>
    <t>humiSteam X-plus 18 kg/h, 575Vac 3~, mit Feuchte-Regelung, Reinigungsfähig-Dampfzylinder</t>
  </si>
  <si>
    <t>humiSteam X-plus 25 kg/h, 230Vac 3~, mit Feuchte-Regelung, Reinigungsfähig-Dampfzylinder</t>
  </si>
  <si>
    <t>humiSteam X-plus 25 kg/h, 400Vac 3~, mit Feuchte-Regelung, Reinigungsfähig-Dampfzylinder</t>
  </si>
  <si>
    <t>humiSteam X-plus 25 kg/h, 460Vac 3~, mit Feuchte-Regelung, Reinigungsfähig-Dampfzylinder</t>
  </si>
  <si>
    <t>humiSteam X-plus 25 kg/h, 575Vac 3~, mit Feuchte-Regelung, Reinigungsfähig-Dampfzylinder</t>
  </si>
  <si>
    <t>humiSteam X-plus 25 kg/h, 208Vac 3~, mit Feuchte-Regelung, Reinigungsfähig-Dampfzylinder</t>
  </si>
  <si>
    <t>humiSteam X-plus 35 kg/h, 230Vac 3~, mit Feuchte-Regelung, Reinigungsfähig-Dampfzylinder</t>
  </si>
  <si>
    <t>humiSteam X-plus 35 kg/h, 400Vac 3~, mit Feuchte-Regelung, Reinigungsfähig-Dampfzylinder</t>
  </si>
  <si>
    <t>humiSteam X-plus 35 kg/h, 460Vac 3~, mit Feuchte-Regelung, Reinigungsfähig-Dampfzylinder</t>
  </si>
  <si>
    <t>humiSteam X-plus 35 kg/h, 575Vac 3~, mit Feuchte-Regelung, Reinigungsfähig-Dampfzylinder</t>
  </si>
  <si>
    <t>humiSteam X-plus 35 kg/h, 208Vac 3~, mit Feuchte-Regelung, Reinigungsfähig-Dampfzylinder</t>
  </si>
  <si>
    <t>SDPOEM0000</t>
  </si>
  <si>
    <t>SDP OEM ugello vapore non forato</t>
  </si>
  <si>
    <t>SDPOEM0012</t>
  </si>
  <si>
    <t>SDP OEM: ugello vapore fino a 3 kg/h</t>
  </si>
  <si>
    <t>SDPOEM0022</t>
  </si>
  <si>
    <t>Limite altezza condotta mm</t>
  </si>
  <si>
    <t>Y</t>
  </si>
  <si>
    <t>UEKY00000</t>
  </si>
  <si>
    <t>UEKY40X400</t>
  </si>
  <si>
    <t>heaterSteam 10 kg/h , 575Vac 3~, mit Feuchte-Regelung, Grundversion</t>
  </si>
  <si>
    <t>heaterSteam 10 kg/h , 208Vac 3~, mit Feuchte-Regelung, Grundversion</t>
  </si>
  <si>
    <t>heaterSteam 20 kg/h , 230Vac 3~, EIN/AUS-Betrieb oder proportional Regelung, Grundversion</t>
  </si>
  <si>
    <t>UG045HD002</t>
  </si>
  <si>
    <t>UG090HD002</t>
  </si>
  <si>
    <t>humiSteam X-plus 45 kg/h, 230Vac 3~, mit Feuchte-Regelung, Reinigungsfähig-Dampfzylinder</t>
  </si>
  <si>
    <t>humiSteam X-plus 45 kg/h, 400Vac 3~, mit Feuchte-Regelung, Reinigungsfähig-Dampfzylinder</t>
  </si>
  <si>
    <t>humiSteam X-plus 45 kg/h, 460Vac 3~, mit Feuchte-Regelung, Reinigungsfähig-Dampfzylinder</t>
  </si>
  <si>
    <t>humiSteam X-plus 45 kg/h, 575Vac 3~, mit Feuchte-Regelung, Reinigungsfähig-Dampfzylinder</t>
  </si>
  <si>
    <t>humiSteam X-plus 45 kg/h, 208Vac 3~, mit Feuchte-Regelung, Reinigungsfähig-Dampfzylinder</t>
  </si>
  <si>
    <t>humiSteam Basic 15 kg/h, 460V 3~,  todo/nada o proporcional, cilindro practicable</t>
  </si>
  <si>
    <t>humiSteam Basic 15 kg/h, 575V 3~,  todo/nada o proporcional, cilindro no practicable</t>
  </si>
  <si>
    <t>humiSteam Basic 15 kg/h, 575V 3~,  todo/nada o proporcional, cilindro practicable</t>
  </si>
  <si>
    <t>humiSteam Basic 15 kg/h, 208V 3~,  todo/nada o proporcional, cilindro no practicable</t>
  </si>
  <si>
    <t>humiSteam Basic 15 kg/h, 208V 3~,  todo/nada o proporcional, cilindro practicable</t>
  </si>
  <si>
    <t>humiSteam Basic 18 kg/h, 400V 3~,  todo/nada o proporcional, cilindro no practicable</t>
  </si>
  <si>
    <t>humiSteam Basic 18 kg/h, 400V 3~,  todo/nada o proporcional, cilindro practicable</t>
  </si>
  <si>
    <t>humiSteam Basic 18 kg/h, 460V 3~,  todo/nada o proporcional, cilindro no practicable</t>
  </si>
  <si>
    <t>humiSteam Basic 18 kg/h, 460V 3~,  todo/nada o proporcional, cilindro practicable</t>
  </si>
  <si>
    <t>humiSteam Basic 18 kg/h, 575V 3~,  todo/nada o proporcional, cilindro no practicable</t>
  </si>
  <si>
    <t>humiSteam Basic 18 kg/h, 575V 3~,  todo/nada o proporcional, cilindro practicable</t>
  </si>
  <si>
    <t>humiSteam Basic 25 kg/h, 230V 3~,  todo/nada o proporcional, cilindro no practicable</t>
  </si>
  <si>
    <t>humiSteam Basic 25 kg/h, 230V 3~,  todo/nada o proporcional, cilindro practicable</t>
  </si>
  <si>
    <t>humiSteam Basic 25 kg/h, 400V 3~,  todo/nada o proporcional, cilindro no practicable</t>
  </si>
  <si>
    <t>humiSteam Basic 25 kg/h, 400V 3~,  todo/nada o proporcional, cilindro practicable</t>
  </si>
  <si>
    <t>humiSteam Basic 25 kg/h, 460V 3~,  todo/nada o proporcional, cilindro no practicable</t>
  </si>
  <si>
    <t>humiSteam Basic 25 kg/h, 460V 3~,  todo/nada o proporcional, cilindro practicable</t>
  </si>
  <si>
    <t>humiSteam Basic 25 kg/h, 575V 3~,  todo/nada o proporcional, cilindro no practicable</t>
  </si>
  <si>
    <t>humiSteam Basic 25 kg/h, 575V 3~,  todo/nada o proporcional, cilindro practicable</t>
  </si>
  <si>
    <t>humiSteam Basic 25 kg/h, 208V 3~,  todo/nada o proporcional, cilindro no practicable</t>
  </si>
  <si>
    <t>humiSteam Basic 25 kg/h, 208V 3~,  todo/nada o proporcional, cilindro practicable</t>
  </si>
  <si>
    <t>humiSteam Basic 35 kg/h, 230V 3~,  todo/nada o proporcional, cilindro no practicable</t>
  </si>
  <si>
    <t>humiSteam Basic 35 kg/h, 230V 3~,  todo/nada o proporcional, cilindro practicable</t>
  </si>
  <si>
    <t>humiSteam Basic 35 kg/h, 400V 3~,  todo/nada o proporcional, cilindro no practicable</t>
  </si>
  <si>
    <t>humiSteam Basic 35 kg/h, 400V 3~,  todo/nada o proporcional, cilindro practicable</t>
  </si>
  <si>
    <t>humiSteam Basic 35 kg/h, 460V 3~,  todo/nada o proporcional, cilindro no practicable</t>
  </si>
  <si>
    <t>humiSteam Basic 35 kg/h, 460V 3~,  todo/nada o proporcional, cilindro practicable</t>
  </si>
  <si>
    <t>humiSteam Basic 35 kg/h, 575V 3~,  todo/nada o proporcional, cilindro no practicable</t>
  </si>
  <si>
    <t>humiSteam Basic 35 kg/h, 575V 3~,  todo/nada o proporcional, cilindro practicable</t>
  </si>
  <si>
    <t>humiSteam Basic 35 kg/h, 208V 3~,  todo/nada o proporcional, cilindro no practicable</t>
  </si>
  <si>
    <t>humiSteam Basic 35 kg/h, 208V 3~,  todo/nada o proporcional, cilindro practicable</t>
  </si>
  <si>
    <t>humiSteam Basic 45 kg/h, 230V 3~,  todo/nada o proporcional, cilindro no practicable</t>
  </si>
  <si>
    <t>humiSteam Basic 45 kg/h, 230V 3~,  todo/nada o proporcional, cilindro practicable</t>
  </si>
  <si>
    <t>humiSteam Basic 45 kg/h, 400V 3~,  todo/nada o proporcional, cilindro no practicable</t>
  </si>
  <si>
    <t>humiSteam Basic 45 kg/h, 400V 3~,  todo/nada o proporcional, cilindro practicable</t>
  </si>
  <si>
    <t>humiSteam Basic 45 kg/h, 460V 3~,  todo/nada o proporcional, cilindro no practicable</t>
  </si>
  <si>
    <t>humiSteam Basic 45 kg/h, 460V 3~,  todo/nada o proporcional, cilindro practicable</t>
  </si>
  <si>
    <t>humiSteam Basic 45 kg/h, 575V 3~,  todo/nada o proporcional, cilindro no practicable</t>
  </si>
  <si>
    <t>humiSteam Basic 45 kg/h, 575V 3~,  todo/nada o proporcional, cilindro practicable</t>
  </si>
  <si>
    <t>humiSteam Basic 45 kg/h, 208V 3~,  todo/nada o proporcional, cilindro no practicable</t>
  </si>
  <si>
    <t>humiSteam Basic 45 kg/h, 208V 3~,  todo/nada o proporcional, cilindro practicable</t>
  </si>
  <si>
    <t>humiSteam Basic 65 kg/h, 400V 3~,  todo/nada o proporcional, cilindro no practicable</t>
  </si>
  <si>
    <t>humiSteam Basic 65 kg/h, 400V 3~,  todo/nada o proporcional, cilindro practicable</t>
  </si>
  <si>
    <t>humiSteam Basic 65 kg/h, 460V 3~,  todo/nada o proporcional, cilindro no practicable</t>
  </si>
  <si>
    <t>humiSteam Basic 65 kg/h, 460V 3~,  todo/nada o proporcional, cilindro practicable</t>
  </si>
  <si>
    <t>humiSteam Basic 65 kg/h, 575V 3~,  todo/nada o proporcional, cilindro no practicable</t>
  </si>
  <si>
    <t>humiSteam X-plus 35 kg/h, 460Vac 3~, with regulation, cleanable cylinder</t>
  </si>
  <si>
    <t>humiSteam X-plus 45 kg/h, 460Vac 3~, with regulation, cleanable cylinder</t>
  </si>
  <si>
    <t>humiSteam X-plus 65 kg/h, 460Vac 3~, with regulation, cleanable cylinder</t>
  </si>
  <si>
    <t>humiSteam X-plus 90 kg/h, 460Vac 3~, with regulation, cleanable cylinder</t>
  </si>
  <si>
    <t>humiSteam X-plus 130 kg/h, 400Vac 3~, mit Feuchte-Regelung, Reinigungsfähig-Dampfzylinder</t>
  </si>
  <si>
    <t>humiSteam X-plus 130 kg/h, 460Vac 3~, mit Feuchte-Regelung, Reinigungsfähig-Dampfzylinder</t>
  </si>
  <si>
    <t>humiSteam X-plus 130 kg/h, 575Vac 3~, mit Feuchte-Regelung, Reinigungsfähig-Dampfzylinder</t>
  </si>
  <si>
    <t>Raumfüheler für Temperatur (-10T60 °C) und Feuchte (10-90% r.F.)</t>
  </si>
  <si>
    <t>Wandfüheler für Temperatur (-20T70 °C) und Feuchte (10-90% r.F.)</t>
  </si>
  <si>
    <t>Wandfüheler für Temperatur (-20T70 °C) und Feuchte (0-100% r.F.)</t>
  </si>
  <si>
    <t>Kanalfüheler für Temperatur (-20T70 °C) und Feuchte (10-90% r.F.)</t>
  </si>
  <si>
    <t>Kanalfüheler für Temperatur (-20T70 °C) und Feuchte (0-100% r.F.)</t>
  </si>
  <si>
    <t xml:space="preserve">Temperaturfüheler (-30T90 °C) </t>
  </si>
  <si>
    <t>Spannung nicht verfügbar für das gewählte Modell</t>
  </si>
  <si>
    <t>umidificazione</t>
  </si>
  <si>
    <t>riscaldamento</t>
  </si>
  <si>
    <t>Riscaldamento</t>
  </si>
  <si>
    <t>humiSteam X-plus 1,5 kg/h, 230Vac 1~, with regulation, cleanable cylinder</t>
  </si>
  <si>
    <t>humiSteam X-plus 3 kg/h, 230Vac 1~, with regulation, cleanable cylinder</t>
  </si>
  <si>
    <t>humiSteam X-plus 5 kg/h, 230Vac 1~, with regulation, cleanable cylinder</t>
  </si>
  <si>
    <t>humiSteam X-plus 9 kg/h, 230Vac 1~, with regulation, cleanable cylinder</t>
  </si>
  <si>
    <t>humiSteam X-plus 1,5 kg/h, 208Vac 1~, with regulation, cleanable cylinder</t>
  </si>
  <si>
    <t>humiSteam X-plus 3 kg/h, 208Vac 1~, with regulation, cleanable cylinder</t>
  </si>
  <si>
    <t>humiSteam X-plus 5 kg/h, 208Vac 1~, with regulation, cleanable cylinder</t>
  </si>
  <si>
    <t>humiSteam X-plus 9 kg/h, 208Vac 1~, with regulation, cleanable cylinder</t>
  </si>
  <si>
    <t>humiSteam X-plus 3 kg/h, 208Vac 3~, with regulation, cleanable cylinder</t>
  </si>
  <si>
    <t>humiSteam X-plus 5 kg/h, 208Vac 3~, with regulation, cleanable cylinder</t>
  </si>
  <si>
    <t>humiSteam X-plus 8 kg/h, 208Vac 3~, with regulation, cleanable cylinder</t>
  </si>
  <si>
    <t>humiSteam X-plus 10 kg/h, 208Vac 3~, with regulation, cleanable cylinder</t>
  </si>
  <si>
    <t>humiSteam X-plus 15 kg/h, 208Vac 3~, with regulation, cleanable cylinder</t>
  </si>
  <si>
    <t>Deutsche Version</t>
  </si>
  <si>
    <t>Edelstahl-Dampflanze, Anschluss Dampfschlauch  Ø=22 mm, l = 350 mm</t>
  </si>
  <si>
    <t>Edelstahl-Dampflanze, Anschluss Dampfschlauch  Ø=22 mm, l = 450 mm</t>
  </si>
  <si>
    <t>Edelstahl-Dampflanze, Anschluss Dampfschlauch  Ø=22 mm, l = 600 mm</t>
  </si>
  <si>
    <t>Edelstahl-Dampflanze, Anschluss Dampfschlauch  Ø=22 mm, l = 850 mm</t>
  </si>
  <si>
    <t>Edelstahl-Dampflanze, Anschluss Dampfschlauch  Ø=30 mm, l = 350 mm</t>
  </si>
  <si>
    <t>Edelstahl-Dampflanze, Anschluss Dampfschlauch  Ø=30 mm, l = 450 mm</t>
  </si>
  <si>
    <t>Edelstahl-Dampflanze, Anschluss Dampfschlauch  Ø=30 mm, l = 600 mm</t>
  </si>
  <si>
    <t>Edelstahl-Dampflanze, Anschluss Dampfschlauch  Ø=30 mm, l = 850 mm</t>
  </si>
  <si>
    <t>Edelstahl-Dampflanze, Anschluss Dampfschlauch  Ø=30 mm, l = 1,050 mm</t>
  </si>
  <si>
    <t>Edelstahl-Dampflanze, Anschluss Dampfschlauch  Ø=30 mm, l = 1,250 mm</t>
  </si>
  <si>
    <t>Edelstahl-Dampflanze, Anschluss Dampfschlauch  Ø=30 mm, l = 1.650 mm</t>
  </si>
  <si>
    <t>Edelstahl-Dampflanze, Anschluss Dampfschlauch  Ø=40 mm, l = 850 mm</t>
  </si>
  <si>
    <t>Edelstahl-Dampflanze, Anschluss Dampfschlauch  Ø=40 mm, l = 1,050 mm</t>
  </si>
  <si>
    <t>Edelstahl-Dampflanze, Anschluss Dampfschlauch  Ø=40 mm, l = 1,250 mm</t>
  </si>
  <si>
    <t>Edelstahl-Dampflanze, Anschluss Dampfschlauch  Ø=40 mm, l = 1,650 mm</t>
  </si>
  <si>
    <t>Edelstahl-Dampflanze, Anschluss Dampfschlauch  Ø=40 mm, l = 2,050 mm</t>
  </si>
  <si>
    <t>Edelstahl-Dampflanze, Anschluss Dampfschlauch Ø=22 mm, l = 300 mm</t>
  </si>
  <si>
    <t>Edelstahl-Dampflanze, Anschluss Dampfschlauch  Ø=30 mm, l = 300 mm</t>
  </si>
  <si>
    <t>Edelstahl-Dampflanze, Anschluss Dampfschlauch  Ø=40 mm, l = 600 mm</t>
  </si>
  <si>
    <t>SDP OEM: Dampfdüse bis 3 kg/h</t>
  </si>
  <si>
    <t>SDP OEM: Dampfdüse von 3 bis 15 kg/h</t>
  </si>
  <si>
    <t>SDP OEM: anpassbare Dampfdüse</t>
  </si>
  <si>
    <t>humiSteam Basic 15 kg/h, 230V 3~, EIN/AUS-Betrieb oder proportional Regelung, Einweg-Dampfzylinder</t>
  </si>
  <si>
    <t>humiSteam Basic 15 kg/h, 400V 3~, EIN/AUS-Betrieb oder proportional Regelung, Einweg-Dampfzylinder</t>
  </si>
  <si>
    <t>humiSteam Basic 15 kg/h, 460V 3~, EIN/AUS-Betrieb oder proportional Regelung, Einweg-Dampfzylinder</t>
  </si>
  <si>
    <t>humiSteam Basic 15 kg/h, 575V 3~, EIN/AUS-Betrieb oder proportional Regelung, Einweg-Dampfzylinder</t>
  </si>
  <si>
    <t>humiSteam Basic 15 kg/h, 208V 3~, EIN/AUS-Betrieb oder proportional Regelung, Einweg-Dampfzylinder</t>
  </si>
  <si>
    <t>humiSteam Basic 18 kg/h, 400V 3~, EIN/AUS-Betrieb oder proportional Regelung, Einweg-Dampfzylinder</t>
  </si>
  <si>
    <t>humiSteam Basic 18 kg/h, 460V 3~, EIN/AUS-Betrieb oder proportional Regelung, Einweg-Dampfzylinder</t>
  </si>
  <si>
    <t>humiSteam Basic 18 kg/h, 575V 3~, EIN/AUS-Betrieb oder proportional Regelung, Einweg-Dampfzylinder</t>
  </si>
  <si>
    <t>humiSteam Basic 25 kg/h, 230V 3~, EIN/AUS-Betrieb oder proportional Regelung, Einweg-Dampfzylinder</t>
  </si>
  <si>
    <t>humiSteam Basic 25 kg/h, 400V 3~, EIN/AUS-Betrieb oder proportional Regelung, Einweg-Dampfzylinder</t>
  </si>
  <si>
    <t>humiSteam Basic 25 kg/h, 460V 3~, EIN/AUS-Betrieb oder proportional Regelung, Einweg-Dampfzylinder</t>
  </si>
  <si>
    <t>heaterSteam 60 kg/h , 230Vac 3~, ON/OFF ou proportionnel, version toutes options</t>
  </si>
  <si>
    <t>heaterSteam 60 kg/h , 400Vac 3~, ON/OFF ou proportionnel, version toutes options</t>
  </si>
  <si>
    <t>humiSteam Basic 65 kg/h</t>
  </si>
  <si>
    <t>English description</t>
  </si>
  <si>
    <t>Descrizione italiana</t>
  </si>
  <si>
    <t>INSTRUCTIONS :</t>
  </si>
  <si>
    <t>STEP 1</t>
  </si>
  <si>
    <t>STEP 2</t>
  </si>
  <si>
    <t>STEP 3</t>
  </si>
  <si>
    <t>Vai al foglio "Selection"</t>
  </si>
  <si>
    <t>Go to the "Selection" sheet</t>
  </si>
  <si>
    <t>DPWC112000</t>
  </si>
  <si>
    <t>DPPC112000</t>
  </si>
  <si>
    <t>DPPC212000</t>
  </si>
  <si>
    <t>DPDC112000</t>
  </si>
  <si>
    <t>DPDC212000</t>
  </si>
  <si>
    <t>heaterSteam 2 kg/h , 230Vac 1~, ON/OFF or proportional, basic version</t>
  </si>
  <si>
    <t>Aria esterna</t>
  </si>
  <si>
    <t>External Air</t>
  </si>
  <si>
    <t>ESPAÑOL</t>
  </si>
  <si>
    <t>FRASES A INSERTAR</t>
  </si>
  <si>
    <t>Altitud s.n.m.</t>
  </si>
  <si>
    <t>Error altitud</t>
  </si>
  <si>
    <t>Aire en la salida</t>
  </si>
  <si>
    <t>Humedad relativa</t>
  </si>
  <si>
    <t>Humedad específica</t>
  </si>
  <si>
    <t>En el siguiente diagrama se representa en rojo la transformación isotérmica seleccionada. En azul se representan las curvas isentálpicas mientras que en celeste se muestran las de humedad relativa constante.</t>
  </si>
  <si>
    <t>Conducto</t>
  </si>
  <si>
    <t>Anchura interna C1</t>
  </si>
  <si>
    <t>Altura interna C2</t>
  </si>
  <si>
    <t>Producción horaria V</t>
  </si>
  <si>
    <t>Producción horaria GA</t>
  </si>
  <si>
    <t>Velocidad del aire</t>
  </si>
  <si>
    <t>Agua total Gw</t>
  </si>
  <si>
    <t>¡Anchura del conducto insuficiente!</t>
  </si>
  <si>
    <t>¡Altura del conducto insuficiente!</t>
  </si>
  <si>
    <t>Sondas activas para conducto</t>
  </si>
  <si>
    <t>Cantidad</t>
  </si>
  <si>
    <t>Código</t>
  </si>
  <si>
    <t>Descripción</t>
  </si>
  <si>
    <t>¿Lo desea (Si o No)?</t>
  </si>
  <si>
    <t>¿Si/No?</t>
  </si>
  <si>
    <t>Total precio de lista</t>
  </si>
  <si>
    <t>Descuento</t>
  </si>
  <si>
    <t>Sonda de temperatura (0..50 °C) y de humedad (10..90% HR)</t>
  </si>
  <si>
    <t>Sonda de temperatura (-10..70 °C) y de humedad (0..100% HR)</t>
  </si>
  <si>
    <t>Sonda de humedad 10..90% HR</t>
  </si>
  <si>
    <t>Sonda de humedad 0..100% HR</t>
  </si>
  <si>
    <t>Posición</t>
  </si>
  <si>
    <t>Artículo</t>
  </si>
  <si>
    <t>Precio</t>
  </si>
  <si>
    <t>Humidificador</t>
  </si>
  <si>
    <t>Distribuidor de vapor</t>
  </si>
  <si>
    <t>Tubo de transporte de vapor</t>
  </si>
  <si>
    <t>Tubo de vaciado de condensados</t>
  </si>
  <si>
    <t>Soluciones posibles</t>
  </si>
  <si>
    <t>Código del humidificador</t>
  </si>
  <si>
    <t>Selección del humidificador</t>
  </si>
  <si>
    <t>Racor en Y para tubos de vapor</t>
  </si>
  <si>
    <t>PASO 1</t>
  </si>
  <si>
    <t>PASO 2</t>
  </si>
  <si>
    <t>PASO 3</t>
  </si>
  <si>
    <t>Ir a la hoja "Selección"</t>
  </si>
  <si>
    <t>Nº de distribuidores en conducto</t>
  </si>
  <si>
    <t>Capacidad del humidificador (kg/h)</t>
  </si>
  <si>
    <t>Producción máx del distribuidor (kg/h)</t>
  </si>
  <si>
    <t>Longitud del distribuidor (mm)</t>
  </si>
  <si>
    <t>Distancia de humectación (m)</t>
  </si>
  <si>
    <t>La distancia de humectación se calcula utilizando el trabajo de Gundacker</t>
  </si>
  <si>
    <t>La longitud del distribuidor es mayor que la anchura del conducto</t>
  </si>
  <si>
    <t>La carga de humectación es mayor que la capacidad máxima del distribuidor de vapor</t>
  </si>
  <si>
    <t>Tensión no disponible para el modelo de humidificador seleccionado</t>
  </si>
  <si>
    <t>Opción incorrecta para el modelo de humidificador seleccionado</t>
  </si>
  <si>
    <t>Cilindro standard (sólo para humiSteam)</t>
  </si>
  <si>
    <t>Cilindro practicable (sólo para humiSteam)</t>
  </si>
  <si>
    <t>Selección de la tensión</t>
  </si>
  <si>
    <t>Selección de las características opcionales</t>
  </si>
  <si>
    <t>Descripción italiana</t>
  </si>
  <si>
    <t>Distribuidor de vapor inox, entrada Ø=22 mm, L = 350 mm</t>
  </si>
  <si>
    <t>Distribuidor de vapor inox, entrada Ø=22 mm, L = 450 mm</t>
  </si>
  <si>
    <t>Distribuidor de vapor inox, entrada Ø=22 mm, L = 600 mm</t>
  </si>
  <si>
    <t>Distribuidor de vapor inox, entrada Ø=22 mm, L = 850 mm</t>
  </si>
  <si>
    <t>Distribuidor de vapor inox, entrada Ø=30 mm, L = 350 mm</t>
  </si>
  <si>
    <t>Distribuidor de vapor inox, entrada Ø=30 mm, L = 450 mm</t>
  </si>
  <si>
    <t>Distribuidor de vapor inox, entrada Ø=30 mm, L = 600 mm</t>
  </si>
  <si>
    <t>Distribuidor de vapor inox, entrada Ø=30 mm, L = 850 mm</t>
  </si>
  <si>
    <t>Distribuidor de vapor inox, entrada Ø=30 mm, L = 1.050 mm</t>
  </si>
  <si>
    <t>Distribuidor de vapor inox, entrada Ø=30 mm, L = 1.250 mm</t>
  </si>
  <si>
    <t>Distribuidor de vapor inox, entrada Ø=30 mm, L = 1.650 mm</t>
  </si>
  <si>
    <t>Distribuidor de vapor inox, entrada Ø=40 mm, L = 850 mm</t>
  </si>
  <si>
    <t>Distribuidor de vapor inox, entrada Ø=40 mm, L = 1.050 mm</t>
  </si>
  <si>
    <t>Distribuidor de vapor inox, entrada Ø=40 mm, L = 1.250 mm</t>
  </si>
  <si>
    <t>Distribuidor de vapor inox, entrada Ø=40 mm, L = 1.650 mm</t>
  </si>
  <si>
    <t>Distribuidor de vapor inox, entrada Ø=40 mm, L = 2.050 mm</t>
  </si>
  <si>
    <t>Distribuidor de vapor inox, entrada Ø=22 mm, L = 300 mm</t>
  </si>
  <si>
    <t>Distribuidor de vapor inox, entrada Ø=30 mm, L = 300 mm</t>
  </si>
  <si>
    <t>Distribuidor de vapor inox, entrada Ø=40 mm, L = 600 mm</t>
  </si>
  <si>
    <t>SDP OEM: boquilla de vapor hasta 3 kg/h</t>
  </si>
  <si>
    <t>SDP OEM boquilla de vapor de 3 a 18 kg/h</t>
  </si>
  <si>
    <t>SDP OEM boquilla de vapor no agujereada</t>
  </si>
  <si>
    <t>Racor en Y para tubos de vapor (desde 1x Ø=40 mm hasta 2x Ø=30 mm)</t>
  </si>
  <si>
    <t>Racor en Y para tubos de vapor (desde 1x Ø=40 mm hasta 2x Ø=40 mm)</t>
  </si>
  <si>
    <t>Tubo de transporte de vapor con espiral de acero Ø=22 mm (el metro)</t>
  </si>
  <si>
    <t>Tubo de transporte de vapor con espiral de acero Ø=30 mm (el metro)</t>
  </si>
  <si>
    <t>Tubo de transporte de vapor con espiral de acero Ø=40 mm (el metro)</t>
  </si>
  <si>
    <t>humiSteam X-plus 15 kg/h, 575V 3~, regulación integrada, cilindro practicable</t>
  </si>
  <si>
    <t>humiSteam X-plus 15 kg/h, 208V 3~, regulación integrada, cilindro no practicable</t>
  </si>
  <si>
    <t>humiSteam X-plus 15 kg/h, 208V 3~, regulación integrada, cilindro practicable</t>
  </si>
  <si>
    <t>humiSteam X-plus 18 kg/h, 400V 3~, regulación integrada, cilindro no practicable</t>
  </si>
  <si>
    <t>humiSteam X-plus 18 kg/h, 400V 3~, regulación integrada, cilindro practicable</t>
  </si>
  <si>
    <t>humiSteam X-plus 18 kg/h, 460V 3~, regulación integrada, cilindro no practicable</t>
  </si>
  <si>
    <t>humiSteam X-plus 18 kg/h, 460V 3~, regulación integrada, cilindro practicable</t>
  </si>
  <si>
    <t>humiSteam X-plus 18 kg/h, 575V 3~, regulación integrada, cilindro no practicable</t>
  </si>
  <si>
    <t>humiSteam X-plus 18 kg/h, 575V 3~, regulación integrada, cilindro practicable</t>
  </si>
  <si>
    <t>heaterSteam 40 kg/h, 460V 3~, ON/OFF o proporzionale, versione base</t>
  </si>
  <si>
    <t>heaterSteam 40 kg/h , 460Vac 3~, ON/OFF or proportional, basic version</t>
  </si>
  <si>
    <t>humiSteam Basic 45 kg/h, 230V 3~, EIN/AUS-Betrieb oder proportional Regelung, Einweg-Dampfzylinder</t>
  </si>
  <si>
    <t>humiSteam Basic 45 kg/h, 400V 3~, EIN/AUS-Betrieb oder proportional Regelung, Einweg-Dampfzylinder</t>
  </si>
  <si>
    <t>humiSteam Basic 45 kg/h, 460V 3~, EIN/AUS-Betrieb oder proportional Regelung, Einweg-Dampfzylinder</t>
  </si>
  <si>
    <t>humiSteam Basic 45 kg/h, 575V 3~, EIN/AUS-Betrieb oder proportional Regelung, Einweg-Dampfzylinder</t>
  </si>
  <si>
    <t>humiSteam Basic 45 kg/h, 208V 3~, EIN/AUS-Betrieb oder proportional Regelung, Einweg-Dampfzylinder</t>
  </si>
  <si>
    <t>humiSteam Basic 65 kg/h, 400V 3~, EIN/AUS-Betrieb oder proportional Regelung, Einweg-Dampfzylinder</t>
  </si>
  <si>
    <t>humiSteam Basic 65 kg/h, 460V 3~, EIN/AUS-Betrieb oder proportional Regelung, Einweg-Dampfzylinder</t>
  </si>
  <si>
    <t>humiSteam Basic 65 kg/h, 575V 3~, EIN/AUS-Betrieb oder proportional Regelung, Einweg-Dampfzylinder</t>
  </si>
  <si>
    <t>humiSteam X-plus 1,5 kg/h, 230Vac 1~, mit Feuchte-Regelung, Einweg-Dampfzylinder</t>
  </si>
  <si>
    <t>humiSteam X-plus 1,5 kg/h, 208Vac 1~, mit Feuchte-Regelung, Einweg-Dampfzylinder</t>
  </si>
  <si>
    <t>humiSteam X-plus 3 kg/h, 230Vac 1~, mit Feuchte-Regelung, Einweg-Dampfzylinder</t>
  </si>
  <si>
    <t>humiSteam X-plus 3 kg/h, 230Vac 3~, mit Feuchte-Regelung, Einweg-Dampfzylinder</t>
  </si>
  <si>
    <t>humiSteam X-plus 3 kg/h, 400Vac 3~, mit Feuchte-Regelung, Einweg-Dampfzylinder</t>
  </si>
  <si>
    <t>humiSteam X-plus 3 kg/h, 460Vac 3~, mit Feuchte-Regelung, Einweg-Dampfzylinder</t>
  </si>
  <si>
    <t>humiSteam X-plus 3 kg/h, 208Vac 1~, mit Feuchte-Regelung, Einweg-Dampfzylinder</t>
  </si>
  <si>
    <t>humiSteam X-plus 3 kg/h, 208Vac 3~, mit Feuchte-Regelung, Einweg-Dampfzylinder</t>
  </si>
  <si>
    <t>humiSteam X-plus 5 kg/h, 230Vac 1~, mit Feuchte-Regelung, Einweg-Dampfzylinder</t>
  </si>
  <si>
    <t>humiSteam X-plus 5 kg/h, 230Vac 3~, mit Feuchte-Regelung, Einweg-Dampfzylinder</t>
  </si>
  <si>
    <t>humiSteam X-plus 5 kg/h, 400Vac 3~, mit Feuchte-Regelung, Einweg-Dampfzylinder</t>
  </si>
  <si>
    <t>humiSteam X-plus 5 kg/h, 460Vac 3~, mit Feuchte-Regelung, Einweg-Dampfzylinder</t>
  </si>
  <si>
    <t>humiSteam X-plus 5 kg/h, 575Vac 3~, mit Feuchte-Regelung, Einweg-Dampfzylinder</t>
  </si>
  <si>
    <t>humiSteam X-plus 5 kg/h, 208Vac 1~, mit Feuchte-Regelung, Einweg-Dampfzylinder</t>
  </si>
  <si>
    <t>humiSteam X-plus 5 kg/h, 208Vac 3~, mit Feuchte-Regelung, Einweg-Dampfzylinder</t>
  </si>
  <si>
    <t>humiSteam X-plus 8 kg/h, 230Vac 3~, mit Feuchte-Regelung, Einweg-Dampfzylinder</t>
  </si>
  <si>
    <t>humiSteam X-plus 8 kg/h, 400Vac 3~, mit Feuchte-Regelung, Einweg-Dampfzylinder</t>
  </si>
  <si>
    <t>humiSteam X-plus 8 kg/h, 460Vac 3~, mit Feuchte-Regelung, Einweg-Dampfzylinder</t>
  </si>
  <si>
    <t>humiSteam X-plus 8 kg/h, 575Vac 3~, mit Feuchte-Regelung, Einweg-Dampfzylinder</t>
  </si>
  <si>
    <t>humiSteam X-plus 8 kg/h, 208Vac 3~, mit Feuchte-Regelung, Einweg-Dampfzylinder</t>
  </si>
  <si>
    <t>humiSteam X-plus 9 kg/h, 230Vac 1~, mit Feuchte-Regelung, Einweg-Dampfzylinder</t>
  </si>
  <si>
    <t>humiSteam X-plus 9 kg/h, 208Vac 1~, mit Feuchte-Regelung, Einweg-Dampfzylinder</t>
  </si>
  <si>
    <t>humiSteam X-plus 10 kg/h, 230Vac 3~, mit Feuchte-Regelung, Einweg-Dampfzylinder</t>
  </si>
  <si>
    <t>humiSteam X-plus 10 kg/h, 400Vac 3~, mit Feuchte-Regelung, Einweg-Dampfzylinder</t>
  </si>
  <si>
    <t>humiSteam X-plus 10 kg/h, 460Vac 3~, mit Feuchte-Regelung, Einweg-Dampfzylinder</t>
  </si>
  <si>
    <t>humiSteam X-plus 10 kg/h, 575Vac 3~, mit Feuchte-Regelung, Einweg-Dampfzylinder</t>
  </si>
  <si>
    <t>humiSteam X-plus 10 kg/h, 208Vac 3~, mit Feuchte-Regelung, Einweg-Dampfzylinder</t>
  </si>
  <si>
    <t>humiSteam X-plus 15 kg/h, 230Vac 3~, mit Feuchte-Regelung, Einweg-Dampfzylinder</t>
  </si>
  <si>
    <t>humiSteam X-plus 15 kg/h, 400Vac 3~, mit Feuchte-Regelung, Einweg-Dampfzylinder</t>
  </si>
  <si>
    <t>humiSteam X-plus 15 kg/h, 460Vac 3~, mit Feuchte-Regelung, Einweg-Dampfzylinder</t>
  </si>
  <si>
    <t>humiSteam X-plus 15 kg/h, 575Vac 3~, mit Feuchte-Regelung, Einweg-Dampfzylinder</t>
  </si>
  <si>
    <t>humiSteam X-plus 15 kg/h, 208Vac 3~, mit Feuchte-Regelung, Einweg-Dampfzylinder</t>
  </si>
  <si>
    <t>humiSteam X-plus 18 kg/h, 400Vac 3~, mit Feuchte-Regelung, Einweg-Dampfzylinder</t>
  </si>
  <si>
    <t>humiSteam X-plus 18 kg/h, 460Vac 3~, mit Feuchte-Regelung, Einweg-Dampfzylinder</t>
  </si>
  <si>
    <t>humiSteam X-plus 18 kg/h, 575Vac 3~, mit Feuchte-Regelung, Einweg-Dampfzylinder</t>
  </si>
  <si>
    <t>humiSteam X-plus 25 kg/h, 230Vac 3~, mit Feuchte-Regelung, Einweg-Dampfzylinder</t>
  </si>
  <si>
    <t>humiSteam X-plus 25 kg/h, 400Vac 3~, mit Feuchte-Regelung, Einweg-Dampfzylinder</t>
  </si>
  <si>
    <t>humiSteam Basic 5 kg/h, 230V 3~, EIN/AUS-Betrieb oder proportional Regelung, Reinigungsfähig-Dampfzylinder</t>
  </si>
  <si>
    <t>humiSteam Basic 5 kg/h, 400V 3~, EIN/AUS-Betrieb oder proportional Regelung, Reinigungsfähig-Dampfzylinder</t>
  </si>
  <si>
    <t>humiSteam Basic 5 kg/h, 460V 3~, EIN/AUS-Betrieb oder proportional Regelung, Reinigungsfähig-Dampfzylinder</t>
  </si>
  <si>
    <t>humiSteam Basic 5 kg/h, 575V 3~, EIN/AUS-Betrieb oder proportional Regelung, Reinigungsfähig-Dampfzylinder</t>
  </si>
  <si>
    <t>humiSteam Basic 5 kg/h, 208V 1~, EIN/AUS-Betrieb oder proportional Regelung, Reinigungsfähig-Dampfzylinder</t>
  </si>
  <si>
    <t>humiSteam Basic 5 kg/h, 208V 3~, EIN/AUS-Betrieb oder proportional Regelung, Reinigungsfähig-Dampfzylinder</t>
  </si>
  <si>
    <t>humiSteam Basic 8 kg/h, 230V 3~, EIN/AUS-Betrieb oder proportional Regelung, Reinigungsfähig-Dampfzylinder</t>
  </si>
  <si>
    <t>humiSteam Basic 8 kg/h, 400V 3~, EIN/AUS-Betrieb oder proportional Regelung, Reinigungsfähig-Dampfzylinder</t>
  </si>
  <si>
    <t>humiSteam X-plus 15 kg/h, 575V 3~, regolazione integrata, cilindro non apribile</t>
  </si>
  <si>
    <t>humiSteam X-plus 18 kg/h, 575V 3~, regolazione integrata, cilindro non apribile</t>
  </si>
  <si>
    <t>humiSteam X-plus 25 kg/h, 575V 3~, regolazione integrata, cilindro non apribile</t>
  </si>
  <si>
    <t>humiSteam X-plus 35 kg/h, 575V 3~, regolazione integrata, cilindro non apribile</t>
  </si>
  <si>
    <t>humiSteam X-plus 45 kg/h, 575V 3~, regolazione integrata, cilindro non apribile</t>
  </si>
  <si>
    <t>humiSteam X-plus 65 kg/h, 575V 3~, regolazione integrata, cilindro non apribile</t>
  </si>
  <si>
    <t>humiSteam X-plus 90 kg/h, 575V 3~, regolazione integrata, cilindro non apribile</t>
  </si>
  <si>
    <t>humiSteam X-plus 130 kg/h, 575V 3~, regolazione integrata, cilindro non apribile</t>
  </si>
  <si>
    <t>humiSteam X-plus 1,5 kg/h, 230V 1~, regolazione integrata, cilindro apribile</t>
  </si>
  <si>
    <t>humiSteam X-plus 3 kg/h, 230V 1~, regolazione integrata, cilindro apribile</t>
  </si>
  <si>
    <t>humiSteam X-plus 5 kg/h, 230V 1~, regolazione integrata, cilindro apribile</t>
  </si>
  <si>
    <t>humiSteam X-plus 9 kg/h, 230V 1~, regolazione integrata, cilindro apribile</t>
  </si>
  <si>
    <t>humiSteam X-plus 1,5 kg/h, 208V 1~, regolazione integrata, cilindro apribile</t>
  </si>
  <si>
    <t>humiSteam X-plus 3 kg/h, 208V 1~, regolazione integrata, cilindro apribile</t>
  </si>
  <si>
    <t>humiSteam X-plus 5 kg/h, 208V 1~, regolazione integrata, cilindro apribile</t>
  </si>
  <si>
    <t>humiSteam X-plus 9 kg/h, 208V 1~, regolazione integrata, cilindro apribile</t>
  </si>
  <si>
    <t>humiSteam X-plus 3 kg/h, 208V 3~, regolazione integrata, cilindro apribile</t>
  </si>
  <si>
    <t>humiSteam X-plus 5 kg/h, 208V 3~, regolazione integrata, cilindro apribile</t>
  </si>
  <si>
    <t>humiSteam X-plus 8 kg/h, 208V 3~, regolazione integrata, cilindro apribile</t>
  </si>
  <si>
    <t>humiSteam X-plus 10 kg/h, 208V 3~, regolazione integrata, cilindro apribile</t>
  </si>
  <si>
    <t>humiSteam X-plus 15 kg/h, 208V 3~, regolazione integrata, cilindro apribile</t>
  </si>
  <si>
    <t>humiSteam X-plus 25 kg/h, 208V 3~, regolazione integrata, cilindro apribile</t>
  </si>
  <si>
    <t>humiSteam X-plus 35 kg/h, 208V 3~, regolazione integrata, cilindro apribile</t>
  </si>
  <si>
    <t>humiSteam X-plus 45 kg/h, 208V 3~, regolazione integrata, cilindro apribile</t>
  </si>
  <si>
    <t>humiSteam X-plus 3 kg/h, 230V 3~, regolazione integrata, cilindro apribile</t>
  </si>
  <si>
    <t>humiSteam Basic 45 kg/h, 400V 3~, ON/OFF or proportional, disposable cylinder</t>
  </si>
  <si>
    <t>humiSteam Basic 45 kg/h, 400V 3~,  ON/OFF o proporzionale, cilindro non apribile</t>
  </si>
  <si>
    <t>humiSteam X-plus 65 kg/h, 400Vac 3~, with regulation, disposable cylinder</t>
  </si>
  <si>
    <t>humiSteam Basic 65 kg/h, 400V 3~, ON/OFF or proportional, disposable cylinder</t>
  </si>
  <si>
    <t>humiSteam Basic 65 kg/h, 400V 3~,  ON/OFF o proporzionale, cilindro non apribile</t>
  </si>
  <si>
    <t>humiSteam X-plus 90 kg/h, 400Vac 3~, with regulation, disposable cylinder</t>
  </si>
  <si>
    <t>humiSteam X-plus 130 kg/h, 400Vac 3~, with regulation, disposable cylinder</t>
  </si>
  <si>
    <t>humiSteam X-plus 130 kg/h, 575V 3~, regulación integrada, cilindro practicable</t>
  </si>
  <si>
    <t>heaterSteam 2 kg/h, 230V 1~, todo/nada o proporcional, versión básica</t>
  </si>
  <si>
    <t>heaterSteam 2 kg/h, 230V 1~, todo/nada o proporcional, versión con todas las opciones</t>
  </si>
  <si>
    <t>heaterSteam 2 kg/h, 208V 1~, todo/nada o proporcional, versión básica</t>
  </si>
  <si>
    <t>heaterSteam 2 kg/h, 208V 1~, todo/nada o proporcional, versión con todas las opciones</t>
  </si>
  <si>
    <t>heaterSteam 2 kg/h, 208V 1~, regulación integrada, versión básica</t>
  </si>
  <si>
    <t>heaterSteam 2 kg/h, 208V 1~, regulación integrada, versión con todas las opciones</t>
  </si>
  <si>
    <t>heaterSteam 4 kg/h, 230V 1~, todo/nada o proporcional, versión básica</t>
  </si>
  <si>
    <t>heaterSteam 4 kg/h, 230V 1~, todo/nada o proporcional, versión con todas las opciones</t>
  </si>
  <si>
    <t>heaterSteam 4 kg/h, 208V 1~, todo/nada o proporcional, versión básica</t>
  </si>
  <si>
    <t>heaterSteam 4 kg/h, 208V 1~, todo/nada o proporcional, versión con todas las opciones</t>
  </si>
  <si>
    <t>heaterSteam 4 kg/h, 208V 1~, regulación integrada, versión básica</t>
  </si>
  <si>
    <t>heaterSteam 4 kg/h, 208V 1~, regulación integrada, versión con todas las opciones</t>
  </si>
  <si>
    <t>heaterSteam 6 kg/h, 230V 1~, todo/nada o proporcional, versión básica</t>
  </si>
  <si>
    <t>heaterSteam 6 kg/h, 230V 1~, todo/nada o proporcional, versión con todas las opciones</t>
  </si>
  <si>
    <t>humiSteam Basic 8 kg/h, 460V 3~,  ON/OFF o proporzionale, cilindro non apribile</t>
  </si>
  <si>
    <t>humiSteam Basic 8 kg/h, 460V 3~, ON/OFF or proportional, disposable cylinder</t>
  </si>
  <si>
    <t>humiSteam Basic 10 kg/h, 460V 3~,  ON/OFF o proporzionale, cilindro non apribile</t>
  </si>
  <si>
    <t>humiSteam Basic 10 kg/h, 460V 3~, ON/OFF or proportional, disposable cylinder</t>
  </si>
  <si>
    <t>Stainless steel steam distributor, inlet  Ø=30 mm, l = 350 mm</t>
  </si>
  <si>
    <t>Stainless steel steam distributor, inlet  Ø=22 mm, l = 450 mm</t>
  </si>
  <si>
    <t>Stainless steel steam distributor, inlet  Ø=30 mm, l = 450 mm</t>
  </si>
  <si>
    <t>WARNING</t>
  </si>
  <si>
    <t>ATTENZIONE: il preriscaldo deve essere fornito da un dispositivo esterno</t>
  </si>
  <si>
    <t>WARNING: the pre-heating must be supplied by an external device</t>
  </si>
  <si>
    <t>Limite di condensazione</t>
  </si>
  <si>
    <t>humiSteam X-plus 35 kg/h, 575V 3~, regolazione integrata, cilindro apribile</t>
  </si>
  <si>
    <t>humiSteam X-plus 45 kg/h, 575V 3~, regolazione integrata, cilindro apribile</t>
  </si>
  <si>
    <t>humiSteam X-plus 65 kg/h, 575V 3~, regolazione integrata, cilindro apribile</t>
  </si>
  <si>
    <t>humiSteam X-plus 90 kg/h, 575V 3~, regolazione integrata, cilindro apribile</t>
  </si>
  <si>
    <t>humiSteam X-plus 130 kg/h, 575V 3~, regolazione integrata, cilindro apribile</t>
  </si>
  <si>
    <t>heaterSteam 2 kg/h, 208V 1~, ON/OFF o proporzionale, versione base</t>
  </si>
  <si>
    <t>heaterSteam 2 kg/h , 208Vac 1~, ON/OFF or proportional, basic version</t>
  </si>
  <si>
    <t>heaterSteam 2 kg/h, 208V 1~, ON/OFF o proporzionale, versione full optional</t>
  </si>
  <si>
    <t>heaterSteam 2 kg/h , 208Vac 1~, ON/OFF or proportional, full optional version</t>
  </si>
  <si>
    <t>heaterSteam 4 kg/h, 208V 1~, ON/OFF o proporzionale, versione base</t>
  </si>
  <si>
    <t>humiSteam X-plus 15 kg/h, 400Vac 3~, avec régulateur, cylindre non ouvrant</t>
  </si>
  <si>
    <t>humiSteam X-plus 15 kg/h, 400Vac 3~, avec régulateur, cylindre ouvrant</t>
  </si>
  <si>
    <t>humiSteam X-plus 15 kg/h, 460Vac 3~, avec régulateur, cylindre non ouvrant</t>
  </si>
  <si>
    <t>humiSteam X-plus 15 kg/h, 460Vac 3~, avec régulateur, cylindre ouvrant</t>
  </si>
  <si>
    <t>humiSteam X-plus 15 kg/h, 575Vac 3~, avec régulateur, cylindre non ouvrant</t>
  </si>
  <si>
    <t>humiSteam X-plus 15 kg/h, 575Vac 3~, avec régulateur, cylindre ouvrant</t>
  </si>
  <si>
    <t>humiSteam X-plus 15 kg/h, 208Vac 3~, avec régulateur, cylindre non ouvrant</t>
  </si>
  <si>
    <t>humiSteam X-plus 15 kg/h, 208Vac 3~, avec régulateur, cylindre ouvrant</t>
  </si>
  <si>
    <t>humiSteam X-plus 18 kg/h, 400Vac 3~, avec régulateur, cylindre non ouvrant</t>
  </si>
  <si>
    <t>heaterSteam 27 kg/h , 230Vac 3~, EIN/AUS-Betrieb oder proportional Regelung, Grundversion</t>
  </si>
  <si>
    <t>heaterSteam 27 kg/h , 400Vac 3~, EIN/AUS-Betrieb oder proportional Regelung, Grundversion</t>
  </si>
  <si>
    <t>heaterSteam 27 kg/h , 460Vac 3~, EIN/AUS-Betrieb oder proportional Regelung, Grundversion</t>
  </si>
  <si>
    <t>heaterSteam 27 kg/h , 575Vac 3~, EIN/AUS-Betrieb oder proportional Regelung, Grundversion</t>
  </si>
  <si>
    <t>heaterSteam 27 kg/h , 208Vac 3~, EIN/AUS-Betrieb oder proportional Regelung, Grundversion</t>
  </si>
  <si>
    <t>heaterSteam 27 kg/h , 575Vac 3~, mit Feuchte-Regelung, Grundversion</t>
  </si>
  <si>
    <t>heaterSteam 27 kg/h , 208Vac 3~, mit Feuchte-Regelung, Grundversion</t>
  </si>
  <si>
    <t>humiSteam X-plus 10 kg/h, 208Vac 3~, avec régulateur, cylindre ouvrant</t>
  </si>
  <si>
    <t>humiSteam X-plus 15 kg/h, 230Vac 3~, avec régulateur, cylindre non ouvrant</t>
  </si>
  <si>
    <t>humiSteam X-plus 15 kg/h, 230Vac 3~, avec régulateur, cylindre ouvrant</t>
  </si>
  <si>
    <t>heaterSteam 20 kg/h , 460Vac 3~, EIN/AUS-Betrieb oder proportional Regelung, Grundversion</t>
  </si>
  <si>
    <t>heaterSteam 20 kg/h , 575Vac 3~, EIN/AUS-Betrieb oder proportional Regelung, Grundversion</t>
  </si>
  <si>
    <t>heaterSteam 20 kg/h , 208Vac 3~, EIN/AUS-Betrieb oder proportional Regelung, Grundversion</t>
  </si>
  <si>
    <t>heaterSteam 20 kg/h , 575Vac 3~, mit Feuchte-Regelung, Grundversion</t>
  </si>
  <si>
    <t>heaterSteam 20 kg/h , 208Vac 3~, mit Feuchte-Regelung, Grundversion</t>
  </si>
  <si>
    <t>humiSteam Basic 1,5 kg/h, 230V 1~, ON/OFF o proporzionale, cilindro apribile</t>
  </si>
  <si>
    <t>humiSteam Basic 3 kg/h, 230V 1~, ON/OFF o proporzionale, cilindro apribile</t>
  </si>
  <si>
    <t>humiSteam Basic 5 kg/h, 230V 1~, ON/OFF o proporzionale, cilindro apribile</t>
  </si>
  <si>
    <t>humiSteam Basic 9 kg/h, 230V 1~, ON/OFF o proporzionale, cilindro apribile</t>
  </si>
  <si>
    <t>humiSteam Basic 1,5 kg/h, 208V 1~, ON/OFF o proporzionale, cilindro apribile</t>
  </si>
  <si>
    <t>humiSteam Basic 3 kg/h, 208V 1~, ON/OFF o proporzionale, cilindro apribile</t>
  </si>
  <si>
    <t>humiSteam Basic 5 kg/h, 208V 1~, ON/OFF o proporzionale, cilindro apribile</t>
  </si>
  <si>
    <t>humiSteam Basic 9 kg/h, 208V 1~, ON/OFF o proporzionale, cilindro apribile</t>
  </si>
  <si>
    <t>humiSteam X-plus 3 kg/h, 400V 3~, regulación integrada, cilindro practicable</t>
  </si>
  <si>
    <t>humiSteam X-plus 3 kg/h, 460V 3~, regulación integrada, cilindro no practicable</t>
  </si>
  <si>
    <t>humiSteam X-plus 3 kg/h, 460V 3~, regulación integrada, cilindro practicable</t>
  </si>
  <si>
    <t>humiSteam X-plus 5 kg/h, 575Vac 3~, with regulation, cleanable cylinder</t>
  </si>
  <si>
    <t>humiSteam X-plus 8 kg/h, 575Vac 3~, with regulation, cleanable cylinder</t>
  </si>
  <si>
    <t>humiSteam X-plus 10 kg/h, 575Vac 3~, with regulation, cleanable cylinder</t>
  </si>
  <si>
    <t>humiSteam X-plus 15 kg/h, 575Vac 3~, with regulation, cleanable cylinder</t>
  </si>
  <si>
    <t>humiSteam X-plus 18 kg/h, 575Vac 3~, with regulation, cleanable cylinder</t>
  </si>
  <si>
    <t>humiSteam X-plus 25 kg/h, 575Vac 3~, with regulation, cleanable cylinder</t>
  </si>
  <si>
    <t>humiSteam X-plus 35 kg/h, 575Vac 3~, with regulation, cleanable cylinder</t>
  </si>
  <si>
    <t>humiSteam X-plus 45 kg/h, 575Vac 3~, with regulation, cleanable cylinder</t>
  </si>
  <si>
    <t>humiSteam X-plus 65 kg/h, 575Vac 3~, with regulation, cleanable cylinder</t>
  </si>
  <si>
    <t>humiSteam X-plus 90 kg/h, 575Vac 3~, with regulation, cleanable cylinder</t>
  </si>
  <si>
    <t>humiSteam X-plus 130 kg/h, 575Vac 3~, with regulation, cleanable cylinder</t>
  </si>
  <si>
    <t>Tabella UR*H</t>
  </si>
  <si>
    <t>Tabella UR*C</t>
  </si>
  <si>
    <t>URH</t>
  </si>
  <si>
    <t>URC</t>
  </si>
  <si>
    <t>UR020C</t>
  </si>
  <si>
    <t>Modelli</t>
  </si>
  <si>
    <t>UE001X</t>
  </si>
  <si>
    <t>UE003X</t>
  </si>
  <si>
    <t>UE005X</t>
  </si>
  <si>
    <t>UE008X</t>
  </si>
  <si>
    <t>UE009X</t>
  </si>
  <si>
    <t>UE010X</t>
  </si>
  <si>
    <t>UE018X</t>
  </si>
  <si>
    <t>UE025X</t>
  </si>
  <si>
    <t>UE035X</t>
  </si>
  <si>
    <t>UE045X</t>
  </si>
  <si>
    <t>UE065X</t>
  </si>
  <si>
    <t>UE090X</t>
  </si>
  <si>
    <t>UE130X</t>
  </si>
  <si>
    <t>UE001Y</t>
  </si>
  <si>
    <t>UE003Y</t>
  </si>
  <si>
    <t>UE005Y</t>
  </si>
  <si>
    <t>UE008Y</t>
  </si>
  <si>
    <t>heaterSteam 20 kg/h , 400Vac 3~, EIN/AUS-Betrieb oder proportional Regelung, Vollversion</t>
  </si>
  <si>
    <t>heaterSteam 20 kg/h , 460Vac 3~, EIN/AUS-Betrieb oder proportional Regelung, Vollversion</t>
  </si>
  <si>
    <t>heaterSteam 4 kg/h , 208Vac 1~, EIN/AUS-Betrieb oder proportional Regelung, Vollversion</t>
  </si>
  <si>
    <t>heaterSteam 4 kg/h , 208Vac 1~, mit Feuchte-Regelung, Vollversion</t>
  </si>
  <si>
    <t>humiSteam Basic 3 kg/h, 400V 3~,  ON/OFF o proporzionale, cilindro apribile</t>
  </si>
  <si>
    <t>humiSteam Basic 5 kg/h, 400V 3~,  ON/OFF o proporzionale, cilindro apribile</t>
  </si>
  <si>
    <t>humiSteam Basic 8 kg/h, 400V 3~,  ON/OFF o proporzionale, cilindro apribile</t>
  </si>
  <si>
    <t>humiSteam Basic 10 kg/h, 400V 3~,  ON/OFF o proporzionale, cilindro apribile</t>
  </si>
  <si>
    <t>humiSteam Basic 15 kg/h, 400V 3~,  ON/OFF o proporzionale, cilindro apribile</t>
  </si>
  <si>
    <t>humiSteam Basic 18 kg/h, 400V 3~,  ON/OFF o proporzionale, cilindro apribile</t>
  </si>
  <si>
    <t>heaterSteam 6 kg/h, 208V 3~, todo/nada o proporcional, versión con todas las opciones</t>
  </si>
  <si>
    <t>heaterSteam 6 kg/h, 575V 3~, regulación integrada, versión básica</t>
  </si>
  <si>
    <t>heaterSteam 6 kg/h, 575V 3~, regulación integrada, versión con todas las opciones</t>
  </si>
  <si>
    <t>heaterSteam 6 kg/h, 208V 1~, regulación integrada, versión básica</t>
  </si>
  <si>
    <t>heaterSteam 6 kg/h, 208V 1~, regulación integrada, versión con todas las opciones</t>
  </si>
  <si>
    <t>heaterSteam 6 kg/h, 208V 3~, regulación integrada, versión básica</t>
  </si>
  <si>
    <t>heaterSteam 6 kg/h, 208V 3~, regulación integrada, versión con todas las opciones</t>
  </si>
  <si>
    <t>heaterSteam 10 kg/h, 230V 3~, todo/nada o proporcional, versión básica</t>
  </si>
  <si>
    <t>heaterSteam 10 kg/h, 230V 3~, todo/nada o proporcional, versión con todas las opciones</t>
  </si>
  <si>
    <t>heaterSteam 10 kg/h, 400V 3~, todo/nada o proporcional, versión básica</t>
  </si>
  <si>
    <t>heaterSteam 10 kg/h, 400V 3~, todo/nada o proporcional, versión con todas las opciones</t>
  </si>
  <si>
    <t>heaterSteam 10 kg/h, 460V 3~, todo/nada o proporcional, versión básica</t>
  </si>
  <si>
    <t>heaterSteam 10 kg/h, 460V 3~, todo/nada o proporcional, versión con todas las opciones</t>
  </si>
  <si>
    <t>heaterSteam 10 kg/h, 575V 3~, todo/nada o proporcional, versión básica</t>
  </si>
  <si>
    <t>heaterSteam 10 kg/h, 575V 3~, todo/nada o proporcional, versión con todas las opciones</t>
  </si>
  <si>
    <t>heaterSteam 10 kg/h, 208V 3~, todo/nada o proporcional, versión básica</t>
  </si>
  <si>
    <t>heaterSteam 10 kg/h, 208V 3~, todo/nada o proporcional, versión con todas las opciones</t>
  </si>
  <si>
    <t>heaterSteam 10 kg/h, 575V 3~, regulación integrada, versión básica</t>
  </si>
  <si>
    <t>heaterSteam 10 kg/h, 575V 3~, regulación integrada, versión con todas las opciones</t>
  </si>
  <si>
    <t>heaterSteam 10 kg/h, 208V 3~, regulación integrada, versión básica</t>
  </si>
  <si>
    <t>heaterSteam 10 kg/h, 208V 3~, regulación integrada, versión con todas las opciones</t>
  </si>
  <si>
    <t>heaterSteam 20 kg/h, 230V 3~, todo/nada o proporcional, versión básica</t>
  </si>
  <si>
    <t>heaterSteam 20 kg/h, 230V 3~, todo/nada o proporcional, versión con todas las opciones</t>
  </si>
  <si>
    <t>heaterSteam 20 kg/h, 400V 3~, todo/nada o proporcional, versión básica</t>
  </si>
  <si>
    <t>heaterSteam 20 kg/h, 400V 3~, todo/nada o proporcional, versión con todas las opciones</t>
  </si>
  <si>
    <t>heaterSteam 20 kg/h, 460V 3~, todo/nada o proporcional, versión básica</t>
  </si>
  <si>
    <t>heaterSteam 20 kg/h, 460V 3~, todo/nada o proporcional, versión con todas las opciones</t>
  </si>
  <si>
    <t>heaterSteam 20 kg/h, 575V 3~, todo/nada o proporcional, versión básica</t>
  </si>
  <si>
    <t>heaterSteam 20 kg/h, 575V 3~, todo/nada o proporcional, versión con todas las opciones</t>
  </si>
  <si>
    <t>heaterSteam 20 kg/h, 208V 3~, todo/nada o proporcional, versión básica</t>
  </si>
  <si>
    <t>heaterSteam 20 kg/h, 208V 3~, todo/nada o proporcional, versión con todas las opciones</t>
  </si>
  <si>
    <t>heaterSteam 20 kg/h, 575V 3~, regulación integrada, versión básica</t>
  </si>
  <si>
    <t>heaterSteam 20 kg/h, 575V 3~, regulación integrada, versión con todas las opciones</t>
  </si>
  <si>
    <t>humiSteam Basic 8 kg/h, 208V 3~,  ON/OFF o proporzionale, cilindro apribile</t>
  </si>
  <si>
    <t>humiSteam Basic 10 kg/h, 208V 3~,  ON/OFF o proporzionale, cilindro apribile</t>
  </si>
  <si>
    <t>humiSteam Basic 15 kg/h, 208V 3~,  ON/OFF o proporzionale, cilindro apribile</t>
  </si>
  <si>
    <t>humiSteam Basic 25 kg/h, 208V 3~,  ON/OFF o proporzionale, cilindro apribile</t>
  </si>
  <si>
    <t>humiSteam Basic 35 kg/h, 208V 3~,  ON/OFF o proporzionale, cilindro apribile</t>
  </si>
  <si>
    <t>humiSteam Basic 45 kg/h, 208V 3~,  ON/OFF o proporzionale, cilindro apribile</t>
  </si>
  <si>
    <t>humiSteam Basic 3 kg/h, 230V 3~,  ON/OFF o proporzionale, cilindro apribile</t>
  </si>
  <si>
    <t>humiSteam Basic 5 kg/h, 230V 3~,  ON/OFF o proporzionale, cilindro apribile</t>
  </si>
  <si>
    <t>humiSteam Basic 8 kg/h, 230V 3~,  ON/OFF o proporzionale, cilindro apribile</t>
  </si>
  <si>
    <t>humiSteam Basic 10 kg/h, 230V 3~,  ON/OFF o proporzionale, cilindro apribile</t>
  </si>
  <si>
    <t>humiSteam Basic 15 kg/h, 230V 3~,  ON/OFF o proporzionale, cilindro apribile</t>
  </si>
  <si>
    <t>humiSteam Basic 25 kg/h, 230V 3~,  ON/OFF o proporzionale, cilindro apribile</t>
  </si>
  <si>
    <t>humiSteam Basic 35 kg/h, 230V 3~,  ON/OFF o proporzionale, cilindro apribile</t>
  </si>
  <si>
    <t>humiSteam Basic 45 kg/h, 230V 3~,  ON/OFF o proporzionale, cilindro apribile</t>
  </si>
  <si>
    <t>humiSteam Basic 3 kg/h, 460V 3~,  ON/OFF o proporzionale, cilindro apribile</t>
  </si>
  <si>
    <t>humiSteam Basic 5 kg/h, 460V 3~,  ON/OFF o proporzionale, cilindro apribile</t>
  </si>
  <si>
    <t>humiSteam Basic 8 kg/h, 460V 3~,  ON/OFF o proporzionale, cilindro apribile</t>
  </si>
  <si>
    <t>humiSteam Basic 10 kg/h, 460V 3~,  ON/OFF o proporzionale, cilindro apribile</t>
  </si>
  <si>
    <t>humiSteam Basic 15 kg/h, 460V 3~,  ON/OFF o proporzionale, cilindro apribile</t>
  </si>
  <si>
    <t>humiSteam Basic 18 kg/h, 460V 3~,  ON/OFF o proporzionale, cilindro apribile</t>
  </si>
  <si>
    <t>humiSteam Basic 25 kg/h, 460V 3~,  ON/OFF o proporzionale, cilindro apribile</t>
  </si>
  <si>
    <t>humiSteam Basic 35 kg/h, 460V 3~,  ON/OFF o proporzionale, cilindro apribile</t>
  </si>
  <si>
    <t>humiSteam Basic 45 kg/h, 460V 3~,  ON/OFF o proporzionale, cilindro apribile</t>
  </si>
  <si>
    <t>humiSteam Basic 65 kg/h, 460V 3~,  ON/OFF o proporzionale, cilindro apribile</t>
  </si>
  <si>
    <t>humiSteam Basic 5 kg/h, 575V 3~,  ON/OFF o proporzionale, cilindro apribile</t>
  </si>
  <si>
    <t>humiSteam Basic 8 kg/h, 575V 3~,  ON/OFF o proporzionale, cilindro apribile</t>
  </si>
  <si>
    <t>humiSteam Basic 10 kg/h, 575V 3~,  ON/OFF o proporzionale, cilindro apribile</t>
  </si>
  <si>
    <t>humiSteam Basic 15 kg/h, 575V 3~,  ON/OFF o proporzionale, cilindro apribile</t>
  </si>
  <si>
    <t>humiSteam Basic 18 kg/h, 575V 3~,  ON/OFF o proporzionale, cilindro apribile</t>
  </si>
  <si>
    <t>humiSteam Basic 25 kg/h, 575V 3~,  ON/OFF o proporzionale, cilindro apribile</t>
  </si>
  <si>
    <t>humiSteam Basic 35 kg/h, 575V 3~,  ON/OFF o proporzionale, cilindro apribile</t>
  </si>
  <si>
    <t>humiSteam Basic 45 kg/h, 575V 3~,  ON/OFF o proporzionale, cilindro apribile</t>
  </si>
  <si>
    <t>humiSteam Basic 65 kg/h, 575V 3~,  ON/OFF o proporzionale, cilindro apribile</t>
  </si>
  <si>
    <t>humiSteam Basic 1,5 kg/h, 230V 1~, ON/OFF or proportional, cleanable cylinder</t>
  </si>
  <si>
    <t>humiSteam Basic 3 kg/h, 230V 1~, ON/OFF or proportional, cleanable cylinder</t>
  </si>
  <si>
    <t>humiSteam Basic 5 kg/h, 230V 1~, ON/OFF or proportional, cleanable cylinder</t>
  </si>
  <si>
    <t>humiSteam Basic 9 kg/h, 230V 1~, ON/OFF or proportional, cleanable cylinder</t>
  </si>
  <si>
    <t>humiSteam Basic 1,5 kg/h, 208V 1~, ON/OFF or proportional, cleanable cylinder</t>
  </si>
  <si>
    <t>humiSteam Basic 3 kg/h, 208V 1~, ON/OFF or proportional, cleanable cylinder</t>
  </si>
  <si>
    <t>humiSteam Basic 5 kg/h, 208V 1~, ON/OFF or proportional, cleanable cylinder</t>
  </si>
  <si>
    <t>humiSteam Basic 9 kg/h, 208V 1~, ON/OFF or proportional, cleanable cylinder</t>
  </si>
  <si>
    <t>humiSteam Basic 3 kg/h, 400V 3~, ON/OFF or proportional, cleanable cylinder</t>
  </si>
  <si>
    <t>humiSteam Basic 5 kg/h, 400V 3~, ON/OFF or proportional, cleanable cylinder</t>
  </si>
  <si>
    <t>humiSteam Basic 8 kg/h, 400V 3~, ON/OFF or proportional, cleanable cylinder</t>
  </si>
  <si>
    <t>humiSteam Basic 10 kg/h, 400V 3~, ON/OFF or proportional, cleanable cylinder</t>
  </si>
  <si>
    <t>humiSteam Basic 15 kg/h, 400V 3~, ON/OFF or proportional, cleanable cylinder</t>
  </si>
  <si>
    <t>humiSteam Basic 18 kg/h, 400V 3~, ON/OFF or proportional, cleanable cylinder</t>
  </si>
  <si>
    <t>humiSteam Basic 25 kg/h, 400V 3~, ON/OFF or proportional, cleanable cylinder</t>
  </si>
  <si>
    <t>heaterSteam 6 kg/h, 208V 3~, ON/OFF o proporzionale, versione base</t>
  </si>
  <si>
    <t>heaterSteam 6 kg/h , 208Vac 3~, ON/OFF or proportional, basic version</t>
  </si>
  <si>
    <t>UE009Y</t>
  </si>
  <si>
    <t>UE010Y</t>
  </si>
  <si>
    <t>UE018Y</t>
  </si>
  <si>
    <t>UE025Y</t>
  </si>
  <si>
    <t>UE035Y</t>
  </si>
  <si>
    <t>UE045Y</t>
  </si>
  <si>
    <t>UE065Y</t>
  </si>
  <si>
    <t>UR002H</t>
  </si>
  <si>
    <t>UR004H</t>
  </si>
  <si>
    <t>UR006H</t>
  </si>
  <si>
    <t>UR010H</t>
  </si>
  <si>
    <t>UR027H</t>
  </si>
  <si>
    <t>UR040H</t>
  </si>
  <si>
    <t>UR060H</t>
  </si>
  <si>
    <t>UR002C</t>
  </si>
  <si>
    <t>UR004C</t>
  </si>
  <si>
    <t>UR006C</t>
  </si>
  <si>
    <t>UR010C</t>
  </si>
  <si>
    <t>UR027C</t>
  </si>
  <si>
    <t>UR040C</t>
  </si>
  <si>
    <t>UR060C</t>
  </si>
  <si>
    <t>UG045H</t>
  </si>
  <si>
    <t>UG090H</t>
  </si>
  <si>
    <t>UG180H</t>
  </si>
  <si>
    <t>humiSteam Basic 1,5 kg/h, 208V 1~, ON/OFF o proporzionale, cilindro non apribile</t>
  </si>
  <si>
    <t>humiSteam Basic 1,5 kg/h, 208V 1~, ON/OFF or proportional, disposable cylinder</t>
  </si>
  <si>
    <t>humiSteam Basic 3 kg/h, 208V 1~, ON/OFF o proporzionale, cilindro non apribile</t>
  </si>
  <si>
    <t>humiSteam Basic 3 kg/h, 208V 1~, ON/OFF or proportional, disposable cylinder</t>
  </si>
  <si>
    <t>humiSteam Basic 5 kg/h, 208V 1~, ON/OFF o proporzionale, cilindro non apribile</t>
  </si>
  <si>
    <t>humiSteam Basic 5 kg/h, 208V 1~, ON/OFF or proportional, disposable cylinder</t>
  </si>
  <si>
    <t>humiSteam Basic 9 kg/h, 208V 1~, ON/OFF o proporzionale, cilindro non apribile</t>
  </si>
  <si>
    <t>humiSteam Basic 9 kg/h, 208V 1~, ON/OFF or proportional, disposable cylinder</t>
  </si>
  <si>
    <t>humiSteam Basic 3 kg/h, 208V 3~,  ON/OFF o proporzionale, cilindro non apribile</t>
  </si>
  <si>
    <t>humiSteam Basic 3 kg/h, 208V 3~, ON/OFF or proportional, disposable cylinder</t>
  </si>
  <si>
    <t>humiSteam Basic 5 kg/h, 208V 3~,  ON/OFF o proporzionale, cilindro non apribile</t>
  </si>
  <si>
    <t>humiSteam Basic 5 kg/h, 208V 3~, ON/OFF or proportional, disposable cylinder</t>
  </si>
  <si>
    <t>humiSteam Basic 8 kg/h, 208V 3~,  ON/OFF o proporzionale, cilindro non apribile</t>
  </si>
  <si>
    <t>humiSteam Basic 8 kg/h, 208V 3~, ON/OFF or proportional, disposable cylinder</t>
  </si>
  <si>
    <t>humiSteam Basic 10 kg/h, 208V 3~,  ON/OFF o proporzionale, cilindro non apribile</t>
  </si>
  <si>
    <t>humiSteam Basic 10 kg/h, 208V 3~, ON/OFF or proportional, disposable cylinder</t>
  </si>
  <si>
    <t>humiSteam Basic 15 kg/h, 208V 3~,  ON/OFF o proporzionale, cilindro non apribile</t>
  </si>
  <si>
    <t>humiSteam Basic 15 kg/h, 208V 3~, ON/OFF or proportional, disposable cylinder</t>
  </si>
  <si>
    <t>humiSteam Basic 25 kg/h, 208V 3~,  ON/OFF o proporzionale, cilindro non apribile</t>
  </si>
  <si>
    <t>humiSteam Basic 25 kg/h, 208V 3~, ON/OFF or proportional, disposable cylinder</t>
  </si>
  <si>
    <t>humiSteam Basic 35 kg/h, 208V 3~,  ON/OFF o proporzionale, cilindro non apribile</t>
  </si>
  <si>
    <t>humiSteam Basic 35 kg/h, 208V 3~, ON/OFF or proportional, disposable cylinder</t>
  </si>
  <si>
    <t>humiSteam Basic 45 kg/h, 208V 3~,  ON/OFF o proporzionale, cilindro non apribile</t>
  </si>
  <si>
    <t>humiSteam Basic 45 kg/h, 208V 3~, ON/OFF or proportional, disposable cylinder</t>
  </si>
  <si>
    <t>humiSteam Basic 3 kg/h, 230V 3~,  ON/OFF o proporzionale, cilindro non apribile</t>
  </si>
  <si>
    <t>humiSteam Basic 3 kg/h, 230V 3~, ON/OFF or proportional, disposable cylinder</t>
  </si>
  <si>
    <t>humiSteam Basic 5 kg/h, 230V 3~,  ON/OFF o proporzionale, cilindro non apribile</t>
  </si>
  <si>
    <t>humiSteam Basic 5 kg/h, 230V 3~, ON/OFF or proportional, disposable cylinder</t>
  </si>
  <si>
    <t>humiSteam Basic 8 kg/h, 230V 3~,  ON/OFF o proporzionale, cilindro non apribile</t>
  </si>
  <si>
    <t>humiSteam Basic 8 kg/h, 230V 3~, ON/OFF or proportional, disposable cylinder</t>
  </si>
  <si>
    <t>humiSteam Basic 10 kg/h, 230V 3~,  ON/OFF o proporzionale, cilindro non apribile</t>
  </si>
  <si>
    <t>humiSteam Basic 10 kg/h, 230V 3~, ON/OFF or proportional, disposable cylinder</t>
  </si>
  <si>
    <t>humiSteam Basic 15 kg/h, 230V 3~,  ON/OFF o proporzionale, cilindro non apribile</t>
  </si>
  <si>
    <t>humiSteam X-plus 25 kg/h, 230V 3~, regolazione integrata, cilindro non apribile</t>
  </si>
  <si>
    <t>humiSteam X-plus 35 kg/h, 230V 3~, regolazione integrata, cilindro non apribile</t>
  </si>
  <si>
    <t>humiSteam X-plus 45 kg/h, 230V 3~, regolazione integrata, cilindro non apribile</t>
  </si>
  <si>
    <t>humiSteam X-plus 3 kg/h, 400V 3~, regolazione integrata, cilindro non apribile</t>
  </si>
  <si>
    <t>humiSteam X-plus 5 kg/h, 400V 3~, regolazione integrata, cilindro non apribile</t>
  </si>
  <si>
    <t>humiSteam X-plus 8 kg/h, 400V 3~, regolazione integrata, cilindro non apribile</t>
  </si>
  <si>
    <t>humiSteam X-plus 10 kg/h, 400V 3~, regolazione integrata, cilindro non apribile</t>
  </si>
  <si>
    <t>humiSteam X-plus 15 kg/h, 400V 3~, regolazione integrata, cilindro non apribile</t>
  </si>
  <si>
    <t>humiSteam X-plus 18 kg/h, 400V 3~, regolazione integrata, cilindro non apribile</t>
  </si>
  <si>
    <t>humiSteam X-plus 25 kg/h, 400V 3~, regolazione integrata, cilindro non apribile</t>
  </si>
  <si>
    <t>humiSteam X-plus 35 kg/h, 400V 3~, regolazione integrata, cilindro non apribile</t>
  </si>
  <si>
    <t>humiSteam X-plus 45 kg/h, 400V 3~, regolazione integrata, cilindro non apribile</t>
  </si>
  <si>
    <t>humiSteam X-plus 65 kg/h, 400V 3~, regolazione integrata, cilindro non apribile</t>
  </si>
  <si>
    <t>humiSteam X-plus 90 kg/h, 400V 3~, regolazione integrata, cilindro non apribile</t>
  </si>
  <si>
    <t>humiSteam X-plus 25 kg/h, 230V 3~, regulación integrada, cilindro no practicable</t>
  </si>
  <si>
    <t>humiSteam X-plus 25 kg/h, 230V 3~, regulación integrada, cilindro practicable</t>
  </si>
  <si>
    <t>humiSteam X-plus 25 kg/h, 400V 3~, regulación integrada, cilindro no practicable</t>
  </si>
  <si>
    <t>humiSteam X-plus 25 kg/h, 400V 3~, regulación integrada, cilindro practicable</t>
  </si>
  <si>
    <t>humiSteam X-plus 25 kg/h, 460V 3~, regulación integrada, cilindro no practicable</t>
  </si>
  <si>
    <t>humiSteam X-plus 25 kg/h, 460V 3~, regulación integrada, cilindro practicable</t>
  </si>
  <si>
    <t>humiSteam X-plus 25 kg/h, 575V 3~, regulación integrada, cilindro no practicable</t>
  </si>
  <si>
    <t>heaterSteam 60 kg/h, 575V 3~, regulación integrada, versión básica</t>
  </si>
  <si>
    <t>heaterSteam 60 kg/h, 575V 3~, regulación integrada, versión con todas las opciones</t>
  </si>
  <si>
    <t>heaterSteam 60 kg/h, 208V 3~, regulación integrada, versión básica</t>
  </si>
  <si>
    <t>heaterSteam 60 kg/h, 208V 3~, regulación integrada, versión con todas las opciones</t>
  </si>
  <si>
    <t>Aire en la entrada</t>
  </si>
  <si>
    <t>Percentage of recirculation air</t>
  </si>
  <si>
    <t>delt t</t>
  </si>
  <si>
    <t>delta x per il calcolo del carico finale</t>
  </si>
  <si>
    <t>Aria miscelata</t>
  </si>
  <si>
    <t>humiSteam X-plus 8 kg/h, 230Vac 3~, with regulation, disposable cylinder</t>
  </si>
  <si>
    <t>humiSteam X-plus 10 kg/h, 230Vac 3~, with regulation, disposable cylinder</t>
  </si>
  <si>
    <t>humiSteam X-plus 15 kg/h, 230Vac 3~, with regulation, disposable cylinder</t>
  </si>
  <si>
    <t>humiSteam X-plus 25 kg/h, 230Vac 3~, with regulation, disposable cylinder</t>
  </si>
  <si>
    <t>humiSteam X-plus 35 kg/h, 230Vac 3~, with regulation, disposable cylinder</t>
  </si>
  <si>
    <t>humiSteam X-plus 45 kg/h, 230Vac 3~, with regulation, disposable cylinder</t>
  </si>
  <si>
    <t>humiSteam Basic 3 kg/h, 460V 3~, ON/OFF or proportional, cleanable cylinder</t>
  </si>
  <si>
    <t>humiSteam Basic 5 kg/h, 460V 3~, ON/OFF or proportional, cleanable cylinder</t>
  </si>
  <si>
    <t>humiSteam Basic 8 kg/h, 460V 3~, ON/OFF or proportional, cleanable cylinder</t>
  </si>
  <si>
    <t>heaterSteam 60 kg/h , 400Vac 3~, EIN/AUS-Betrieb oder proportional Regelung, Vollversion</t>
  </si>
  <si>
    <t>heaterSteam 60 kg/h , 460Vac 3~, EIN/AUS-Betrieb oder proportional Regelung, Vollversion</t>
  </si>
  <si>
    <t>heaterSteam 60 kg/h , 575Vac 3~, EIN/AUS-Betrieb oder proportional Regelung, Vollversion</t>
  </si>
  <si>
    <t>heaterSteam 60 kg/h , 208Vac 3~, EIN/AUS-Betrieb oder proportional Regelung, Vollversion</t>
  </si>
  <si>
    <t>heaterSteam 60 kg/h , 230Vac 3~, mit Feuchte-Regelung, Vollversion</t>
  </si>
  <si>
    <t>heaterSteam 60 kg/h , 575Vac 3~, mit Feuchte-Regelung, Vollversion</t>
  </si>
  <si>
    <t>heaterSteam 60 kg/h , 208Vac 3~, mit Feuchte-Regelung, Vollversion</t>
  </si>
  <si>
    <t>humiSteam Basic 1,5 kg/h, 230V 1~, EIN/AUS-Betrieb oder proportional Regelung, Reinigungsfähig-Dampfzylinder</t>
  </si>
  <si>
    <t>humiSteam Basic 1,5 kg/h, 208V 1~, EIN/AUS-Betrieb oder proportional Regelung, Reinigungsfähig-Dampfzylinder</t>
  </si>
  <si>
    <t>humiSteam Basic 3 kg/h, 230V 1~, EIN/AUS-Betrieb oder proportional Regelung, Reinigungsfähig-Dampfzylinder</t>
  </si>
  <si>
    <t>humiSteam Basic 3 kg/h, 230V 3~, EIN/AUS-Betrieb oder proportional Regelung, Reinigungsfähig-Dampfzylinder</t>
  </si>
  <si>
    <t>Internal width C1</t>
  </si>
  <si>
    <t>Internal height C2</t>
  </si>
  <si>
    <t>Air flow V</t>
  </si>
  <si>
    <t>Air flow GA</t>
  </si>
  <si>
    <t>Air speed</t>
  </si>
  <si>
    <t>Total water flow Gw</t>
  </si>
  <si>
    <t>Internal width too small</t>
  </si>
  <si>
    <t>Internal height too small</t>
  </si>
  <si>
    <t>Error</t>
  </si>
  <si>
    <t>Active probe for ducts</t>
  </si>
  <si>
    <t>Quantity</t>
  </si>
  <si>
    <t>Description</t>
  </si>
  <si>
    <t>TOTAL</t>
  </si>
  <si>
    <t>Do you want it? (Yes or No)?</t>
  </si>
  <si>
    <t>Yes/No?</t>
  </si>
  <si>
    <t>Total list price</t>
  </si>
  <si>
    <t>Yes</t>
  </si>
  <si>
    <t>Discount</t>
  </si>
  <si>
    <t>Temperature probe (0-50 °C) and humidity (10-90% rH)</t>
  </si>
  <si>
    <t>Temperature probe (-10-70 °C) and humidity (0-100% rH)</t>
  </si>
  <si>
    <t>Humidity probe 10-90% rH</t>
  </si>
  <si>
    <t>Humidity probe 0-100% rH</t>
  </si>
  <si>
    <t>Position</t>
  </si>
  <si>
    <t>Price</t>
  </si>
  <si>
    <t>Humidifier</t>
  </si>
  <si>
    <t>Steam distributor</t>
  </si>
  <si>
    <t>Steam hose</t>
  </si>
  <si>
    <t>Drain hose</t>
  </si>
  <si>
    <t>Possible solutions</t>
  </si>
  <si>
    <t>Humidifier code</t>
  </si>
  <si>
    <t>Choice of the humidifier</t>
  </si>
  <si>
    <t>Y connection for steam hose</t>
  </si>
  <si>
    <t>UE018</t>
  </si>
  <si>
    <r>
      <t>230 1</t>
    </r>
    <r>
      <rPr>
        <sz val="8"/>
        <rFont val="Verdana"/>
        <family val="2"/>
      </rPr>
      <t>~</t>
    </r>
  </si>
  <si>
    <t>400 3~</t>
  </si>
  <si>
    <t>(1-99)</t>
  </si>
  <si>
    <t>Tabella UE*X</t>
  </si>
  <si>
    <t>Tabella UE*Y</t>
  </si>
  <si>
    <t>Umidificatori UE*Y possibili</t>
  </si>
  <si>
    <t>Umidificatori UE*X possibili</t>
  </si>
  <si>
    <t>SFC 006: tubo per scarico condensa Ø=7 mm (al metro) per testate ventilanti e ugelli SDPOEM00**</t>
  </si>
  <si>
    <t>Steam hose with steel spring Ø=40 mm (per metre)</t>
  </si>
  <si>
    <t>Tubo trasporto vapore con spirale acciaio Ø=40 mm (al metro)</t>
  </si>
  <si>
    <t>condensate drain hose Ø=10 mm (per metre)</t>
  </si>
  <si>
    <t>tubo per scarico condensa Ø=10 mm (al metro) per distributori di vapore DP***D**R*</t>
  </si>
  <si>
    <t>Stainless steel steam distributor, inlet Ø=22 mm, l = 300 mm</t>
  </si>
  <si>
    <t>Distributore di vapore inox, ingresso Ø=22 mm, L = 300 mm</t>
  </si>
  <si>
    <t>Stainless steel steam distributor, inlet  Ø=30 mm, l = 300 mm</t>
  </si>
  <si>
    <t>Distributore di vapore inox, ingresso Ø=30 mm, L = 300 mm</t>
  </si>
  <si>
    <t>Distributore di vapore inox, ingresso Ø=22 mm, L = 350 mm</t>
  </si>
  <si>
    <t>Distributore di vapore inox, ingresso Ø=30 mm, L = 350 mm</t>
  </si>
  <si>
    <t>humiSteam X-plus 25 kg/h, 575V 3~, regulación integrada, cilindro practicable</t>
  </si>
  <si>
    <t>humiSteam X-plus 25 kg/h, 208V 3~, regulación integrada, cilindro no practicable</t>
  </si>
  <si>
    <t>humiSteam X-plus 25 kg/h, 208V 3~, regulación integrada, cilindro practicable</t>
  </si>
  <si>
    <t>humiSteam X-plus 35 kg/h, 230V 3~, regulación integrada, cilindro no practicable</t>
  </si>
  <si>
    <t>humiSteam X-plus 35 kg/h, 230V 3~, regulación integrada, cilindro practicable</t>
  </si>
  <si>
    <t>Stainless steel steam distributor, inlet  Ø=30 mm, l = 1,250 mm</t>
  </si>
  <si>
    <t>Min_flow</t>
  </si>
  <si>
    <t xml:space="preserve">Portata minima </t>
  </si>
  <si>
    <t>#_umi</t>
  </si>
  <si>
    <t>Massimo numero umi</t>
  </si>
  <si>
    <t>Max</t>
  </si>
  <si>
    <t>Max_flow</t>
  </si>
  <si>
    <t>Si/No</t>
  </si>
  <si>
    <t>Quale</t>
  </si>
  <si>
    <t># umidificatore</t>
  </si>
  <si>
    <t>Code umidificatore</t>
  </si>
  <si>
    <t>D uscita</t>
  </si>
  <si>
    <t>C'è 230 V 1p</t>
  </si>
  <si>
    <t>C'è 400V 3p</t>
  </si>
  <si>
    <t>#_umidificatori</t>
  </si>
  <si>
    <t>230 V1p</t>
  </si>
  <si>
    <t>400 V1p</t>
  </si>
  <si>
    <t>Tabella gaSteam</t>
  </si>
  <si>
    <t>Valore massimo 99</t>
  </si>
  <si>
    <t>Stringa degli umidificatori che rispondono ai criteri</t>
  </si>
  <si>
    <t>#_umidificatore</t>
  </si>
  <si>
    <t xml:space="preserve">Water fill hose l = 1.5 m with 3/4” fitting </t>
  </si>
  <si>
    <t xml:space="preserve">Tubo carico acqua l = 1,5 m con connessione 3/4” </t>
  </si>
  <si>
    <t xml:space="preserve">Water fill hose l = 3 m with 3/4” fitting </t>
  </si>
  <si>
    <t xml:space="preserve">Tubo carico acqua l = 3 m con connessione 3/4” </t>
  </si>
  <si>
    <t>Water fill hose with dual-check valve (included from UE065 to UE130)</t>
  </si>
  <si>
    <t>1312368AXX</t>
  </si>
  <si>
    <t>UG045</t>
  </si>
  <si>
    <t>Distributore di vapore</t>
  </si>
  <si>
    <t>Lo si vuole (Si o No)?</t>
  </si>
  <si>
    <t>Tubo trasporto vapore</t>
  </si>
  <si>
    <t>Posizione</t>
  </si>
  <si>
    <t>Prezzo</t>
  </si>
  <si>
    <t>Articolo</t>
  </si>
  <si>
    <t>Codice umidificatore</t>
  </si>
  <si>
    <t>Errore nella prima iterazione</t>
  </si>
  <si>
    <t>Valore di k della prima iterazione</t>
  </si>
  <si>
    <t>Tabella distributori DP</t>
  </si>
  <si>
    <t>UG090</t>
  </si>
  <si>
    <t>UG180</t>
  </si>
  <si>
    <t>AZIONE AUTOMATICA</t>
  </si>
  <si>
    <t>SENTENCE TO INSERT</t>
  </si>
  <si>
    <t>Altitude a.s.l.</t>
  </si>
  <si>
    <t>Altitude error</t>
  </si>
  <si>
    <t>Air after the humidifier</t>
  </si>
  <si>
    <t>Relative humidity</t>
  </si>
  <si>
    <t>Temperature</t>
  </si>
  <si>
    <t>Specific humidity</t>
  </si>
  <si>
    <t>Difference x2-x1</t>
  </si>
  <si>
    <t>The following diagram shows the isothermal transformation in red. Blue lines represent curves at a fixed relative humidity, while cyan ones are constant-enthalpy curves.</t>
  </si>
  <si>
    <t>Duct</t>
  </si>
  <si>
    <t>heaterSteam 60 kg/h, 208V 3~, regolazione integrata, versione full optional</t>
  </si>
  <si>
    <t>heaterSteam 60 kg/h , 208Vac 3~, with regulation, full optional version</t>
  </si>
  <si>
    <t>heaterSteam 40 kg/h, 230V 3~, regolazione integrata, versione base</t>
  </si>
  <si>
    <t>heaterSteam 40 kg/h , 230Vac 3~, with regulation, basic version</t>
  </si>
  <si>
    <t>heaterSteam 40 kg/h, 230V 3~, regolazione integrata, versione full optional</t>
  </si>
  <si>
    <t>heaterSteam 40 kg/h , 230Vac 3~, with regulation, full optional version</t>
  </si>
  <si>
    <t>heaterSteam 60 kg/h, 230V 3~, regolazione integrata, versione base</t>
  </si>
  <si>
    <t>heaterSteam 60 kg/h , 230Vac 3~, with regulation, basic version</t>
  </si>
  <si>
    <t>heaterSteam 60 kg/h, 230V 3~, regolazione integrata, versione full optional</t>
  </si>
  <si>
    <t>heaterSteam 60 kg/h , 230Vac 3~, with regulation, full optional version</t>
  </si>
  <si>
    <t>heaterSteam 6 kg/h, 230V 3~, todo/nada o proporcional, versión básica</t>
  </si>
  <si>
    <t>heaterSteam 6 kg/h, 230V 3~, todo/nada o proporcional, versión con todas las opciones</t>
  </si>
  <si>
    <t>humiSteam X-plus 5 kg/h, 460Vac 3~, with regulation, disposable cylinder</t>
  </si>
  <si>
    <t>humiSteam X-plus 8 kg/h, 460Vac 3~, with regulation, disposable cylinder</t>
  </si>
  <si>
    <t>humiSteam X-plus 10 kg/h, 460Vac 3~, with regulation, disposable cylinder</t>
  </si>
  <si>
    <t>humiSteam X-plus 15 kg/h, 460Vac 3~, with regulation, disposable cylinder</t>
  </si>
  <si>
    <t>humiSteam X-plus 18 kg/h, 460Vac 3~, with regulation, disposable cylinder</t>
  </si>
  <si>
    <t>humiSteam X-plus 25 kg/h, 460Vac 3~, with regulation, disposable cylinder</t>
  </si>
  <si>
    <t>humiSteam X-plus 35 kg/h, 460Vac 3~, with regulation, disposable cylinder</t>
  </si>
  <si>
    <t>humiSteam X-plus 45 kg/h, 460Vac 3~, with regulation, disposable cylinder</t>
  </si>
  <si>
    <t>Altitude a.s.l</t>
  </si>
  <si>
    <t>Erreur altitude</t>
  </si>
  <si>
    <t>Air après humidification</t>
  </si>
  <si>
    <t>Hygrométrie relative</t>
  </si>
  <si>
    <t>Température</t>
  </si>
  <si>
    <t>Hygrométrie spécifique</t>
  </si>
  <si>
    <t>Différence x2-x1</t>
  </si>
  <si>
    <t>Le schéma suivant présente les transformations adiabatiques en rouge. Les lignes bleues représentent les courbes à humidité relative constante, les lignes cyans, les courbes à enthalpie constante.</t>
  </si>
  <si>
    <t>Gaine</t>
  </si>
  <si>
    <t>Largeur interne C1</t>
  </si>
  <si>
    <t>Hauteur interne C2</t>
  </si>
  <si>
    <t>Débit d'air V</t>
  </si>
  <si>
    <t>Débit d'air GA</t>
  </si>
  <si>
    <t>Vitesse d'air</t>
  </si>
  <si>
    <t>Débit total d'eau Gw</t>
  </si>
  <si>
    <t>Largeur interne trop courte</t>
  </si>
  <si>
    <t>Hauteur interne trop courte</t>
  </si>
  <si>
    <t>Erreur</t>
  </si>
  <si>
    <t>Sonde active pour gaine</t>
  </si>
  <si>
    <t>Quantité</t>
  </si>
  <si>
    <t>Voulez-vous? (Oui ou Non)?</t>
  </si>
  <si>
    <t>Oui/Non?</t>
  </si>
  <si>
    <t>Total prix liste</t>
  </si>
  <si>
    <t>Oui?</t>
  </si>
  <si>
    <t>Non</t>
  </si>
  <si>
    <t>Remise</t>
  </si>
  <si>
    <t>Sonde de température (0-50°C) et humidité (10-90% rH)</t>
  </si>
  <si>
    <t>Sonde de température (-10-70°C) et humidité (0-100% rH)</t>
  </si>
  <si>
    <t>Sonde d'hygrométrie 10-90% rH</t>
  </si>
  <si>
    <t>Sonde d'hygrométrie 0-100% rH</t>
  </si>
  <si>
    <t>Prix</t>
  </si>
  <si>
    <t>Humidificateur</t>
  </si>
  <si>
    <t>Rampe de distributeur de vapeur</t>
  </si>
  <si>
    <t>Flexible vapeur</t>
  </si>
  <si>
    <t>Flexible condensas</t>
  </si>
  <si>
    <t>Solution possible</t>
  </si>
  <si>
    <t>Code humidificateur</t>
  </si>
  <si>
    <t>Choix d'humidificateur</t>
  </si>
  <si>
    <t>Raccord Y pour flexible vapeur</t>
  </si>
  <si>
    <t>Aller à la feuille de "Sélection"</t>
  </si>
  <si>
    <t>Nbr de rampe dans la gaine</t>
  </si>
  <si>
    <t>heaterSteam 60 kg/h , 575Vac 3~, avec régulateur, version de base</t>
  </si>
  <si>
    <t>heaterSteam 60 kg/h , 208Vac 3~, avec régulateur, version de base</t>
  </si>
  <si>
    <t>humiSteam X-plus 10 kg/h, 460V 3~, regolazione integrata, cilindro non apribile</t>
  </si>
  <si>
    <t>humiSteam X-plus 15 kg/h, 460V 3~, regolazione integrata, cilindro non apribile</t>
  </si>
  <si>
    <t>humiSteam X-plus 18 kg/h, 460V 3~, regolazione integrata, cilindro non apribile</t>
  </si>
  <si>
    <t>humiSteam X-plus 25 kg/h, 460V 3~, regolazione integrata, cilindro non apribile</t>
  </si>
  <si>
    <t>humiSteam X-plus 35 kg/h, 460V 3~, regolazione integrata, cilindro non apribile</t>
  </si>
  <si>
    <t>humiSteam X-plus 45 kg/h, 460V 3~, regolazione integrata, cilindro non apribile</t>
  </si>
  <si>
    <t>humiSteam X-plus 65 kg/h, 460V 3~, regolazione integrata, cilindro non apribile</t>
  </si>
  <si>
    <t>humiSteam X-plus 90 kg/h, 460V 3~, regolazione integrata, cilindro non apribile</t>
  </si>
  <si>
    <t>humiSteam X-plus 130 kg/h, 460V 3~, regolazione integrata, cilindro non apribile</t>
  </si>
  <si>
    <t>humiSteam X-plus 5 kg/h, 575V 3~, regolazione integrata, cilindro non apribile</t>
  </si>
  <si>
    <t>humiSteam Basic 3 kg/h, 230V 1~, ON/OFF or proportional, disposable cylinder</t>
  </si>
  <si>
    <t>humiSteam Basic 3 kg/h, 230V 1~, ON/OFF o proporzionale, cilindro non apribile</t>
  </si>
  <si>
    <t>humiSteam Basic 3 kg/h, 400V 3~, ON/OFF or proportional, disposable cylinder</t>
  </si>
  <si>
    <t>humiSteam Basic 3 kg/h, 400V 3~,  ON/OFF o proporzionale, cilindro non apribile</t>
  </si>
  <si>
    <t>humiSteam X-plus 5 kg/h, 230Vac 1~, with regulation, disposable cylinder</t>
  </si>
  <si>
    <t>humiSteam X-plus 5 kg/h, 400Vac 3~, with regulation, disposable cylinder</t>
  </si>
  <si>
    <t>humiSteam Basic 5 kg/h, 230V 1~, ON/OFF or proportional, disposable cylinder</t>
  </si>
  <si>
    <t>humiSteam X-plus 65 kg/h, 460Vac 3~, mit Feuchte-Regelung, Einweg-Dampfzylinder</t>
  </si>
  <si>
    <t>humiSteam X-plus 65 kg/h, 575Vac 3~, mit Feuchte-Regelung, Einweg-Dampfzylinder</t>
  </si>
  <si>
    <t>humiSteam X-plus 90 kg/h, 400Vac 3~, mit Feuchte-Regelung, Einweg-Dampfzylinder</t>
  </si>
  <si>
    <t>humiSteam X-plus 90 kg/h, 460Vac 3~, mit Feuchte-Regelung, Einweg-Dampfzylinder</t>
  </si>
  <si>
    <t>humiSteam X-plus 90 kg/h, 575Vac 3~, mit Feuchte-Regelung, Einweg-Dampfzylinder</t>
  </si>
  <si>
    <t>humiSteam X-plus 130 kg/h, 400Vac 3~, mit Feuchte-Regelung, Einweg-Dampfzylinder</t>
  </si>
  <si>
    <t>humiSteam X-plus 130 kg/h, 460Vac 3~, mit Feuchte-Regelung, Einweg-Dampfzylinder</t>
  </si>
  <si>
    <t>humiSteam X-plus 5 kg/h, 208Vac 1~, mit Feuchte-Regelung, Reinigungsfähig-Dampfzylinder</t>
  </si>
  <si>
    <t>humiSteam X-plus 5 kg/h, 208Vac 3~, mit Feuchte-Regelung, Reinigungsfähig-Dampfzylinder</t>
  </si>
  <si>
    <t>humiSteam X-plus 8 kg/h, 230Vac 3~, mit Feuchte-Regelung, Reinigungsfähig-Dampfzylinder</t>
  </si>
  <si>
    <t>humiSteam X-plus 8 kg/h, 400Vac 3~, mit Feuchte-Regelung, Reinigungsfähig-Dampfzylinder</t>
  </si>
  <si>
    <t>humiSteam X-plus 8 kg/h, 460Vac 3~, mit Feuchte-Regelung, Reinigungsfähig-Dampfzylinder</t>
  </si>
  <si>
    <t>humiSteam X-plus 8 kg/h, 575Vac 3~, mit Feuchte-Regelung, Reinigungsfähig-Dampfzylinder</t>
  </si>
  <si>
    <t>humiSteam X-plus 8 kg/h, 208Vac 3~, mit Feuchte-Regelung, Reinigungsfähig-Dampfzylinder</t>
  </si>
  <si>
    <t>humiSteam X-plus 9 kg/h, 230Vac 1~, mit Feuchte-Regelung, Reinigungsfähig-Dampfzylinder</t>
  </si>
  <si>
    <t>heaterSteam 6 kg/h, 400V 3~, todo/nada o proporcional, versión básica</t>
  </si>
  <si>
    <t>heaterSteam 6 kg/h, 400V 3~, todo/nada o proporcional, versión con todas las opciones</t>
  </si>
  <si>
    <t>heaterSteam 6 kg/h, 460V 3~, todo/nada o proporcional, versión básica</t>
  </si>
  <si>
    <t>heaterSteam 6 kg/h, 460V 3~, todo/nada o proporcional, versión con todas las opciones</t>
  </si>
  <si>
    <t>heaterSteam 6 kg/h, 575V 3~, todo/nada o proporcional, versión básica</t>
  </si>
  <si>
    <t>heaterSteam 6 kg/h, 575V 3~, todo/nada o proporcional, versión con todas las opciones</t>
  </si>
  <si>
    <t>heaterSteam 6 kg/h, 208V 1~, todo/nada o proporcional, versión básica</t>
  </si>
  <si>
    <t>heaterSteam 6 kg/h, 208V 1~, todo/nada o proporcional, versión con todas las opciones</t>
  </si>
  <si>
    <t>heaterSteam 6 kg/h, 208V 3~, todo/nada o proporcional, versión básica</t>
  </si>
  <si>
    <t>heaterSteam 6 kg/h , 230Vac 1~, ON/OFF ou proportionnel, version de base</t>
  </si>
  <si>
    <t>heaterSteam 6 kg/h , 230Vac 3~, ON/OFF ou proportionnel, version de base</t>
  </si>
  <si>
    <t>heaterSteam 6 kg/h , 400Vac 3~, ON/OFF ou proportionnel, version de base</t>
  </si>
  <si>
    <t>heaterSteam 6 kg/h , 460Vac 3~, ON/OFF ou proportionnel, version de base</t>
  </si>
  <si>
    <t>heaterSteam 6 kg/h , 575Vac 3~, ON/OFF ou proportionnel, version de base</t>
  </si>
  <si>
    <t>heaterSteam 6 kg/h , 208Vac 1~, ON/OFF ou proportionnel, version de base</t>
  </si>
  <si>
    <t>heaterSteam 6 kg/h , 208Vac 3~, ON/OFF ou proportionnel, version de base</t>
  </si>
  <si>
    <t>heaterSteam 6 kg/h , 575Vac 3~, avec régulateur, version de base</t>
  </si>
  <si>
    <t>heaterSteam 6 kg/h , 208Vac 1~, avec régulateur, version de base</t>
  </si>
  <si>
    <t>heaterSteam 6 kg/h , 208Vac 3~, avec régulateur, version de base</t>
  </si>
  <si>
    <t>heaterSteam 10 kg/h , 230Vac 3~, ON/OFF ou proportionnel, version de base</t>
  </si>
  <si>
    <t>heaterSteam 10 kg/h , 400Vac 3~, ON/OFF ou proportionnel, version de base</t>
  </si>
  <si>
    <t>heaterSteam 10 kg/h , 460Vac 3~, ON/OFF ou proportionnel, version de base</t>
  </si>
  <si>
    <t>heaterSteam 10 kg/h , 575Vac 3~, ON/OFF ou proportionnel, version de base</t>
  </si>
  <si>
    <t>heaterSteam 10 kg/h , 208Vac 3~, ON/OFF ou proportionnel, version de base</t>
  </si>
  <si>
    <t>Gehe zum "Selection"-Blatt</t>
  </si>
  <si>
    <t>Voltage specification</t>
  </si>
  <si>
    <t>Options specification</t>
  </si>
  <si>
    <t>Einweg-Dampfzylinder (nur UE)</t>
  </si>
  <si>
    <t>Reinigungsfähig-Dampfzylinder (nur UE)</t>
  </si>
  <si>
    <t>Cylindre non ouvrant (UE seulement)</t>
  </si>
  <si>
    <t>Cylindre ouvrant (UE seulement)</t>
  </si>
  <si>
    <t>Spannung Spezifikation</t>
  </si>
  <si>
    <t>Optionen Spezifikation</t>
  </si>
  <si>
    <t>Option not correct for the model chosen</t>
  </si>
  <si>
    <t>Option nicht richtig für das Modell gewählt</t>
  </si>
  <si>
    <t>Option pas correct pour le modèle choisi</t>
  </si>
  <si>
    <t>Tension spécification</t>
  </si>
  <si>
    <t>Options spécification</t>
  </si>
  <si>
    <t>humiSteam Basic 1,5 kg/h, 230V 1~, EIN/AUS-Betrieb oder proportional Regelung, Einweg-Dampfzylinder</t>
  </si>
  <si>
    <t>humiSteam Basic 1,5 kg/h, 208V 1~, EIN/AUS-Betrieb oder proportional Regelung, Einweg-Dampfzylinder</t>
  </si>
  <si>
    <t>humiSteam Basic 3 kg/h, 230V 1~, EIN/AUS-Betrieb oder proportional Regelung, Einweg-Dampfzylinder</t>
  </si>
  <si>
    <t>humiSteam Basic 3 kg/h, 230V 3~, EIN/AUS-Betrieb oder proportional Regelung, Einweg-Dampfzylinder</t>
  </si>
  <si>
    <t>humiSteam Basic 3 kg/h, 400V 3~, EIN/AUS-Betrieb oder proportional Regelung, Einweg-Dampfzylinder</t>
  </si>
  <si>
    <t>humiSteam Basic 3 kg/h, 460V 3~, EIN/AUS-Betrieb oder proportional Regelung, Einweg-Dampfzylinder</t>
  </si>
  <si>
    <t>humiSteam Basic 3 kg/h, 208V 1~, EIN/AUS-Betrieb oder proportional Regelung, Einweg-Dampfzylinder</t>
  </si>
  <si>
    <t>Numero delle Y</t>
  </si>
  <si>
    <t>Visualezzare possibilità raccordi (Si o No?)</t>
  </si>
  <si>
    <t>humiSteam Basic 15 kg/h, 400V 3~,  todo/nada o proporcional, cilindro practicable</t>
  </si>
  <si>
    <t>humiSteam Basic 15 kg/h, 460V 3~,  todo/nada o proporcional, cilindro no practicable</t>
  </si>
  <si>
    <t>heaterSteam 20 kg/h , 208Vac 3~, with regulation, basic version</t>
  </si>
  <si>
    <t>heaterSteam 20 kg/h, 208V 3~, regolazione integrata, versione full optional</t>
  </si>
  <si>
    <t>heaterSteam 20 kg/h , 208Vac 3~, with regulation, full optional version</t>
  </si>
  <si>
    <t>heaterSteam 27 kg/h, 208V 3~, regolazione integrata, versione base</t>
  </si>
  <si>
    <t>heaterSteam 27 kg/h , 208Vac 3~, with regulation, basic version</t>
  </si>
  <si>
    <t>heaterSteam 27 kg/h, 208V 3~, regolazione integrata, versione full optional</t>
  </si>
  <si>
    <t>heaterSteam 27 kg/h , 208Vac 3~, with regulation, full optional version</t>
  </si>
  <si>
    <t>heaterSteam 40 kg/h, 208V 3~, regolazione integrata, versione base</t>
  </si>
  <si>
    <t>heaterSteam 40 kg/h , 208Vac 3~, with regulation, basic version</t>
  </si>
  <si>
    <t>heaterSteam 40 kg/h, 208V 3~, regolazione integrata, versione full optional</t>
  </si>
  <si>
    <t>heaterSteam 40 kg/h , 208Vac 3~, with regulation, full optional version</t>
  </si>
  <si>
    <t>heaterSteam 60 kg/h, 208V 3~, regolazione integrata, versione base</t>
  </si>
  <si>
    <t>heaterSteam 60 kg/h , 208Vac 3~, with regulation, basic version</t>
  </si>
  <si>
    <t>heaterSteam 10 kg/h , 575Vac 3~, avec régulateur, version de base</t>
  </si>
  <si>
    <t>heaterSteam 10 kg/h , 208Vac 3~, avec régulateur, version de base</t>
  </si>
  <si>
    <t>heaterSteam 20 kg/h , 230Vac 3~, ON/OFF ou proportionnel, version de base</t>
  </si>
  <si>
    <t>heaterSteam 20 kg/h , 400Vac 3~, ON/OFF ou proportionnel, version de base</t>
  </si>
  <si>
    <t>heaterSteam 20 kg/h , 460Vac 3~, ON/OFF ou proportionnel, version de base</t>
  </si>
  <si>
    <t>heaterSteam 20 kg/h , 575Vac 3~, ON/OFF ou proportionnel, version de base</t>
  </si>
  <si>
    <t>heaterSteam 20 kg/h , 208Vac 3~, ON/OFF ou proportionnel, version de base</t>
  </si>
  <si>
    <t>heaterSteam 20 kg/h , 575Vac 3~, avec régulateur, version de base</t>
  </si>
  <si>
    <t>heaterSteam 20 kg/h , 208Vac 3~, avec régulateur, version de base</t>
  </si>
  <si>
    <t>heaterSteam 27 kg/h , 230Vac 3~, ON/OFF ou proportionnel, version de base</t>
  </si>
  <si>
    <t>heaterSteam 27 kg/h , 400Vac 3~, ON/OFF ou proportionnel, version de base</t>
  </si>
  <si>
    <t>heaterSteam 27 kg/h , 460Vac 3~, ON/OFF ou proportionnel, version de base</t>
  </si>
  <si>
    <t>heaterSteam 27 kg/h , 575Vac 3~, ON/OFF ou proportionnel, version de base</t>
  </si>
  <si>
    <t>heaterSteam 27 kg/h , 208Vac 3~, ON/OFF ou proportionnel, version de base</t>
  </si>
  <si>
    <t>heaterSteam 27 kg/h , 575Vac 3~, avec régulateur, version de base</t>
  </si>
  <si>
    <t>heaterSteam 27 kg/h , 208Vac 3~, avec régulateur, version de base</t>
  </si>
  <si>
    <t>heaterSteam 40 kg/h , 230Vac 3~, ON/OFF ou proportionnel, version de base</t>
  </si>
  <si>
    <t>heaterSteam 40 kg/h , 400Vac 3~, ON/OFF ou proportionnel, version de base</t>
  </si>
  <si>
    <t>heaterSteam 40 kg/h , 460Vac 3~, ON/OFF ou proportionnel, version de base</t>
  </si>
  <si>
    <t>heaterSteam 40 kg/h , 575Vac 3~, ON/OFF ou proportionnel, version de base</t>
  </si>
  <si>
    <t>heaterSteam 40 kg/h , 208Vac 3~, ON/OFF ou proportionnel, version de base</t>
  </si>
  <si>
    <t>heaterSteam 40 kg/h , 230Vac 3~, avec régulateur, version de base</t>
  </si>
  <si>
    <t>heaterSteam 40 kg/h , 575Vac 3~, avec régulateur, version de base</t>
  </si>
  <si>
    <t>heaterSteam 40 kg/h , 208Vac 3~, avec régulateur, version de base</t>
  </si>
  <si>
    <t>heaterSteam 60 kg/h , 230Vac 3~, ON/OFF ou proportionnel, version de base</t>
  </si>
  <si>
    <t>heaterSteam 60 kg/h , 400Vac 3~, ON/OFF ou proportionnel, version de base</t>
  </si>
  <si>
    <t>heaterSteam 60 kg/h , 460Vac 3~, ON/OFF ou proportionnel, version de base</t>
  </si>
  <si>
    <t>Percentuale da cui considerare la portata</t>
  </si>
  <si>
    <t>Soluzioni possibili</t>
  </si>
  <si>
    <t>Scelta dell'umidificatore</t>
  </si>
  <si>
    <t>D</t>
  </si>
  <si>
    <t>Tabella tubi trasporto vapore</t>
  </si>
  <si>
    <t>1312360AXX</t>
  </si>
  <si>
    <t>1312365AXX</t>
  </si>
  <si>
    <t>1312367AXX</t>
  </si>
  <si>
    <t>Modello TUBO</t>
  </si>
  <si>
    <t>Tubo scarico condensa</t>
  </si>
  <si>
    <t>1312353APG</t>
  </si>
  <si>
    <t>Sonde possibili</t>
  </si>
  <si>
    <t>ca</t>
  </si>
  <si>
    <t>kJ/kg*°K</t>
  </si>
  <si>
    <t>code</t>
  </si>
  <si>
    <t>L mm</t>
  </si>
  <si>
    <t>Max kg/h</t>
  </si>
  <si>
    <t>a</t>
  </si>
  <si>
    <t>b</t>
  </si>
  <si>
    <t>c</t>
  </si>
  <si>
    <t>e</t>
  </si>
  <si>
    <t>coefficiente fs</t>
  </si>
  <si>
    <t>f</t>
  </si>
  <si>
    <t>coefficiente psi</t>
  </si>
  <si>
    <t>g</t>
  </si>
  <si>
    <t>t in</t>
  </si>
  <si>
    <t>t fin</t>
  </si>
  <si>
    <t>density</t>
  </si>
  <si>
    <t>% in</t>
  </si>
  <si>
    <t>T in</t>
  </si>
  <si>
    <t>T fin</t>
  </si>
  <si>
    <t>d x</t>
  </si>
  <si>
    <t>Psat in</t>
  </si>
  <si>
    <t>heaterSteam 20 kg/h, 575V 3~, regolazione integrata, versione full optional</t>
  </si>
  <si>
    <t>heaterSteam 20 kg/h , 575Vac 3~, with regulation, full optional version</t>
  </si>
  <si>
    <t>heaterSteam 27 kg/h, 575V 3~, regolazione integrata, versione base</t>
  </si>
  <si>
    <t>heaterSteam 27 kg/h , 575Vac 3~, with regulation, basic version</t>
  </si>
  <si>
    <t>heaterSteam 27 kg/h, 575V 3~, regolazione integrata, versione full optional</t>
  </si>
  <si>
    <t>heaterSteam 27 kg/h , 575Vac 3~, with regulation, full optional version</t>
  </si>
  <si>
    <t>heaterSteam 40 kg/h, 575V 3~, regolazione integrata, versione base</t>
  </si>
  <si>
    <t>heaterSteam 40 kg/h , 575Vac 3~, with regulation, basic version</t>
  </si>
  <si>
    <t>humiSteam X-plus 3 kg/h, 230V 1~, regulación integrada, cilindro practicable</t>
  </si>
  <si>
    <t>humiSteam X-plus 3 kg/h, 230V 3~, regulación integrada, cilindro no practicable</t>
  </si>
  <si>
    <t>humiSteam X-plus 3 kg/h, 230V 3~, regulación integrada, cilindro practicable</t>
  </si>
  <si>
    <t>humiSteam X-plus 18 kg/h, 460Vac 3~, with regulation, cleanable cylinder</t>
  </si>
  <si>
    <t>humiSteam X-plus 25 kg/h, 460Vac 3~, with regulation, cleanable cylinder</t>
  </si>
  <si>
    <t>humiSteam Basic 3 kg/h, 208V 3~, EIN/AUS-Betrieb oder proportional Regelung, Einweg-Dampfzylinder</t>
  </si>
  <si>
    <t>humiSteam Basic 5 kg/h, 230V 1~, EIN/AUS-Betrieb oder proportional Regelung, Einweg-Dampfzylinder</t>
  </si>
  <si>
    <t>humiSteam Basic 5 kg/h, 230V 3~, EIN/AUS-Betrieb oder proportional Regelung, Einweg-Dampfzylinder</t>
  </si>
  <si>
    <t>humiSteam Basic 5 kg/h, 400V 3~, EIN/AUS-Betrieb oder proportional Regelung, Einweg-Dampfzylinder</t>
  </si>
  <si>
    <t>humiSteam Basic 5 kg/h, 460V 3~, EIN/AUS-Betrieb oder proportional Regelung, Einweg-Dampfzylinder</t>
  </si>
  <si>
    <t>humiSteam Basic 5 kg/h, 575V 3~, EIN/AUS-Betrieb oder proportional Regelung, Einweg-Dampfzylinder</t>
  </si>
  <si>
    <t>humiSteam Basic 5 kg/h, 208V 1~, EIN/AUS-Betrieb oder proportional Regelung, Einweg-Dampfzylinder</t>
  </si>
  <si>
    <t>humiSteam Basic 5 kg/h, 208V 3~, EIN/AUS-Betrieb oder proportional Regelung, Einweg-Dampfzylinder</t>
  </si>
  <si>
    <t>humiSteam Basic 8 kg/h, 230V 3~, EIN/AUS-Betrieb oder proportional Regelung, Einweg-Dampfzylinder</t>
  </si>
  <si>
    <t>humiSteam Basic 8 kg/h, 400V 3~, EIN/AUS-Betrieb oder proportional Regelung, Einweg-Dampfzylinder</t>
  </si>
  <si>
    <t>humiSteam Basic 8 kg/h, 460V 3~, EIN/AUS-Betrieb oder proportional Regelung, Einweg-Dampfzylinder</t>
  </si>
  <si>
    <t>humiSteam Basic 8 kg/h, 575V 3~, EIN/AUS-Betrieb oder proportional Regelung, Einweg-Dampfzylinder</t>
  </si>
  <si>
    <t>humiSteam Basic 8 kg/h, 208V 3~, EIN/AUS-Betrieb oder proportional Regelung, Einweg-Dampfzylinder</t>
  </si>
  <si>
    <t>humiSteam Basic 9 kg/h, 230V 1~, EIN/AUS-Betrieb oder proportional Regelung, Einweg-Dampfzylinder</t>
  </si>
  <si>
    <t>humiSteam Basic 9 kg/h, 208V 1~, EIN/AUS-Betrieb oder proportional Regelung, Einweg-Dampfzylinder</t>
  </si>
  <si>
    <t>humiSteam Basic 10 kg/h, 230V 3~, EIN/AUS-Betrieb oder proportional Regelung, Einweg-Dampfzylinder</t>
  </si>
  <si>
    <t>humiSteam Basic 10 kg/h, 400V 3~, EIN/AUS-Betrieb oder proportional Regelung, Einweg-Dampfzylinder</t>
  </si>
  <si>
    <t>humiSteam Basic 10 kg/h, 460V 3~, EIN/AUS-Betrieb oder proportional Regelung, Einweg-Dampfzylinder</t>
  </si>
  <si>
    <t>humiSteam Basic 10 kg/h, 575V 3~, EIN/AUS-Betrieb oder proportional Regelung, Einweg-Dampfzylinder</t>
  </si>
  <si>
    <t>Iterazione per il calcolo della temperatura di setpoint partendo dall'aria prima dell'umidificatore</t>
  </si>
  <si>
    <t>Percentual de aire recirculada</t>
  </si>
  <si>
    <t>Percentuale di aria ricircolata</t>
  </si>
  <si>
    <t>humiSteam Basic 15 kg/h, 460V 3~,  ON/OFF o proporzionale, cilindro non apribile</t>
  </si>
  <si>
    <t>humiSteam Basic 15 kg/h, 460V 3~, ON/OFF or proportional, disposable cylinder</t>
  </si>
  <si>
    <t>heaterSteam 2 kg/h , 230Vac 1~, ON/OFF or proportional, full optional version</t>
  </si>
  <si>
    <t>heaterSteam 2 kg/h, 230V 1~, ON/OFF o proporzionale, versione full optional</t>
  </si>
  <si>
    <t>heaterSteam 4 kg/h , 230Vac 1~, ON/OFF or proportional, basic version</t>
  </si>
  <si>
    <t>heaterSteam 4 kg/h, 230V 1~, ON/OFF o proporzionale, versione base</t>
  </si>
  <si>
    <t>humiSteam Basic 5 kg/h, 230V 1~, ON/OFF o proporzionale, cilindro non apribile</t>
  </si>
  <si>
    <t>humiSteam Basic 5 kg/h, 400V 3~, ON/OFF or proportional, disposable cylinder</t>
  </si>
  <si>
    <t>humiSteam Basic 5 kg/h, 400V 3~,  ON/OFF o proporzionale, cilindro non apribile</t>
  </si>
  <si>
    <t>humiSteam X-plus 8 kg/h, 400Vac 3~, with regulation, disposable cylinder</t>
  </si>
  <si>
    <t>humiSteam Basic 8 kg/h, 400V 3~, ON/OFF or proportional, disposable cylinder</t>
  </si>
  <si>
    <t>humiSteam Basic 8 kg/h, 400V 3~,  ON/OFF o proporzionale, cilindro non apribile</t>
  </si>
  <si>
    <t>humiSteam X-plus 9 kg/h, 230Vac 1~, with regulation, disposable cylinder</t>
  </si>
  <si>
    <t>humiSteam Basic 9 kg/h, 230V 1~, ON/OFF or proportional, disposable cylinder</t>
  </si>
  <si>
    <t>humiSteam Basic 9 kg/h, 230V 1~, ON/OFF o proporzionale, cilindro non apribile</t>
  </si>
  <si>
    <t>humiSteam X-plus 10 kg/h, 400Vac 3~, with regulation, disposable cylinder</t>
  </si>
  <si>
    <t>humiSteam Basic 10 kg/h, 400V 3~, ON/OFF or proportional, disposable cylinder</t>
  </si>
  <si>
    <t>humiSteam Basic 10 kg/h, 400V 3~,  ON/OFF o proporzionale, cilindro non apribile</t>
  </si>
  <si>
    <t>humiSteam X-plus 15 kg/h, 400Vac 3~, with regulation, disposable cylinder</t>
  </si>
  <si>
    <t>humiSteam Basic 15 kg/h, 400V 3~, ON/OFF or proportional, disposable cylinder</t>
  </si>
  <si>
    <t>humiSteam Basic 15 kg/h, 400V 3~,  ON/OFF o proporzionale, cilindro non apribile</t>
  </si>
  <si>
    <t>humiSteam X-plus 25 kg/h, 400Vac 3~, with regulation, disposable cylinder</t>
  </si>
  <si>
    <t>humiSteam Basic 25 kg/h, 400V 3~, ON/OFF or proportional, disposable cylinder</t>
  </si>
  <si>
    <t>humiSteam Basic 25 kg/h, 400V 3~,  ON/OFF o proporzionale, cilindro non apribile</t>
  </si>
  <si>
    <t>humiSteam X-plus 35 kg/h, 400Vac 3~, with regulation, disposable cylinder</t>
  </si>
  <si>
    <t>humiSteam Basic 35 kg/h, 400V 3~, ON/OFF or proportional, disposable cylinder</t>
  </si>
  <si>
    <t>humiSteam Basic 35 kg/h, 400V 3~,  ON/OFF o proporzionale, cilindro non apribile</t>
  </si>
  <si>
    <t>humiSteam X-plus 45 kg/h, 400Vac 3~, with regulation, disposable cylinder</t>
  </si>
  <si>
    <t>‘Y’ -Verteiler für Dampfschläuche (von 1x Ø=40 mm auf 2x Ø=30 mm)</t>
  </si>
  <si>
    <t>‘Y’ -Verteiler für Dampfschläuche (von 1x Ø=40 mm auf 2x Ø=40 mm)</t>
  </si>
  <si>
    <t>Dampfschlauch mit integrierter Stahlfeder Ø=22 mm (pro Meter)</t>
  </si>
  <si>
    <t>Dampfschlauch mit integrierter Stahlfeder Ø=30 mm (pro Meter)</t>
  </si>
  <si>
    <t>Dampfschlauch mit integrierter Stahlfeder Ø=40 mm (pro Meter)</t>
  </si>
  <si>
    <t xml:space="preserve">Wasser-Anschluss-Schlauch l = 1.5 m mit 3/4” Muffe </t>
  </si>
  <si>
    <t xml:space="preserve">Wasser-Anschluss-Schlauch l = 3 m mit 3/4” Muffe </t>
  </si>
  <si>
    <t>Wasser-Anschluss-Schlauch mit Doppel-Rückschlagventil (beim UE065 bis UE130 im Lieferumfang enthalten)</t>
  </si>
  <si>
    <t>SFC 006: Kondensatablauf Schlauch Ø=7 mm (pro Meter)</t>
  </si>
  <si>
    <t>Kondensatablauf Schlauch Ø=10 mm (pro Meter)</t>
  </si>
  <si>
    <t>humiSteam Basic 1,5 kg/h, 230V 1~, ON/OFF ou proportionnel, cylindre non ouvrant</t>
  </si>
  <si>
    <t>humiSteam Basic 1,5 kg/h, 208V 1~, ON/OFF ou proportionnel, cylindre non ouvrant</t>
  </si>
  <si>
    <t>humiSteam Basic 3 kg/h, 230V 1~, ON/OFF ou proportionnel, cylindre non ouvrant</t>
  </si>
  <si>
    <t>humiSteam Basic 3 kg/h, 230V 3~, ON/OFF ou proportionnel, cylindre non ouvrant</t>
  </si>
  <si>
    <t>humiSteam Basic 3 kg/h, 400V 3~, ON/OFF ou proportionnel, cylindre non ouvrant</t>
  </si>
  <si>
    <t>humiSteam Basic 3 kg/h, 460V 3~, ON/OFF ou proportionnel, cylindre non ouvrant</t>
  </si>
  <si>
    <t>humiSteam Basic 3 kg/h, 208V 1~, ON/OFF ou proportionnel, cylindre non ouvrant</t>
  </si>
  <si>
    <t>humiSteam Basic 3 kg/h, 208V 3~, ON/OFF ou proportionnel, cylindre non ouvrant</t>
  </si>
  <si>
    <t>humiSteam Basic 5 kg/h, 230V 1~, ON/OFF ou proportionnel, cylindre non ouvrant</t>
  </si>
  <si>
    <t>humiSteam Basic 5 kg/h, 230V 3~, ON/OFF ou proportionnel, cylindre non ouvrant</t>
  </si>
  <si>
    <t>humiSteam Basic 5 kg/h, 400V 3~, ON/OFF ou proportionnel, cylindre non ouvrant</t>
  </si>
  <si>
    <t>humiSteam Basic 5 kg/h, 460V 3~, ON/OFF ou proportionnel, cylindre non ouvrant</t>
  </si>
  <si>
    <t>humiSteam Basic 5 kg/h, 575V 3~, ON/OFF ou proportionnel, cylindre non ouvrant</t>
  </si>
  <si>
    <t>humiSteam Basic 5 kg/h, 208V 1~, ON/OFF ou proportionnel, cylindre non ouvrant</t>
  </si>
  <si>
    <t>humiSteam Basic 5 kg/h, 208V 3~, ON/OFF ou proportionnel, cylindre non ouvrant</t>
  </si>
  <si>
    <t>humiSteam Basic 8 kg/h, 230V 3~, ON/OFF ou proportionnel, cylindre non ouvrant</t>
  </si>
  <si>
    <t>humiSteam Basic 8 kg/h, 400V 3~, ON/OFF ou proportionnel, cylindre non ouvrant</t>
  </si>
  <si>
    <t>humiSteam Basic 8 kg/h, 460V 3~, ON/OFF ou proportionnel, cylindre non ouvrant</t>
  </si>
  <si>
    <t>Tubo para vaciado condensado Ø=10 mm (el metro) para distribuidores de vapor DP***D**R*</t>
  </si>
  <si>
    <t>Sonda activa para ambiente: temperatura (-10T60 °C) y humedad (10…90% rH)</t>
  </si>
  <si>
    <t>Sonda activa para ambiente industrial: temperatura (-20T70 °C) y humedad (10…90% rH)</t>
  </si>
  <si>
    <t>Capacité de l'humidificateur (kg/h)</t>
  </si>
  <si>
    <t>Débit max par rampe (kg/h)</t>
  </si>
  <si>
    <t>Longueur de la rampe (mm)</t>
  </si>
  <si>
    <t>Distance d'absorption (mm)</t>
  </si>
  <si>
    <t>La distance d'absorption est calculée en utilisant le travail de Gundaker</t>
  </si>
  <si>
    <t>heaterSteam 10 kg/h , 208Vac 3~, with regulation, full optional version</t>
  </si>
  <si>
    <t>heaterSteam 20 kg/h, 208V 3~, regolazione integrata, versione base</t>
  </si>
  <si>
    <t>heaterSteam 2 kg/h , 230Vac 1~, ON/OFF ou proportionnel, version toutes options</t>
  </si>
  <si>
    <t>heaterSteam 2 kg/h , 208Vac 1~, ON/OFF ou proportionnel, version toutes options</t>
  </si>
  <si>
    <t>heaterSteam 2 kg/h , 208Vac 1~, avec régulateur, version toutes options</t>
  </si>
  <si>
    <t>heaterSteam 4 kg/h , 230Vac 1~, ON/OFF ou proportionnel, version toutes options</t>
  </si>
  <si>
    <t>heaterSteam 4 kg/h , 208Vac 1~, ON/OFF ou proportionnel, version toutes options</t>
  </si>
  <si>
    <t>heaterSteam 4 kg/h , 208Vac 1~, avec régulateur, version toutes options</t>
  </si>
  <si>
    <t>heaterSteam 6 kg/h , 230Vac 1~, ON/OFF ou proportionnel, version toutes options</t>
  </si>
  <si>
    <t>heaterSteam 6 kg/h , 230Vac 3~, ON/OFF ou proportionnel, version toutes options</t>
  </si>
  <si>
    <t>heaterSteam 6 kg/h , 400Vac 3~, ON/OFF ou proportionnel, version toutes options</t>
  </si>
  <si>
    <t>heaterSteam 6 kg/h , 460Vac 3~, ON/OFF ou proportionnel, version toutes options</t>
  </si>
  <si>
    <t>heaterSteam 6 kg/h , 575Vac 3~, ON/OFF ou proportionnel, version toutes options</t>
  </si>
  <si>
    <t>heaterSteam 6 kg/h , 208Vac 1~, ON/OFF ou proportionnel, version toutes options</t>
  </si>
  <si>
    <t>heaterSteam 6 kg/h , 208Vac 3~, ON/OFF ou proportionnel, version toutes options</t>
  </si>
  <si>
    <t>heaterSteam 6 kg/h , 575Vac 3~, avec régulateur, version toutes options</t>
  </si>
  <si>
    <t>heaterSteam 6 kg/h , 208Vac 1~, avec régulateur, version toutes options</t>
  </si>
  <si>
    <t>heaterSteam 6 kg/h , 208Vac 3~, avec régulateur, version toutes options</t>
  </si>
  <si>
    <t>heaterSteam 10 kg/h , 230Vac 3~, ON/OFF ou proportionnel, version toutes options</t>
  </si>
  <si>
    <t>heaterSteam 10 kg/h , 400Vac 3~, ON/OFF ou proportionnel, version toutes options</t>
  </si>
  <si>
    <t>heaterSteam 10 kg/h , 460Vac 3~, ON/OFF ou proportionnel, version toutes options</t>
  </si>
  <si>
    <t>heaterSteam 10 kg/h , 575Vac 3~, ON/OFF ou proportionnel, version toutes options</t>
  </si>
  <si>
    <t>humiSteam X-plus 5 kg/h, 230V 3~, regolazione integrata, cilindro apribile</t>
  </si>
  <si>
    <t>humiSteam X-plus 8 kg/h, 230V 3~, regolazione integrata, cilindro apribile</t>
  </si>
  <si>
    <t>humiSteam X-plus 10 kg/h, 230V 3~, regolazione integrata, cilindro apribile</t>
  </si>
  <si>
    <t>humiSteam X-plus 15 kg/h, 230V 3~, regolazione integrata, cilindro apribile</t>
  </si>
  <si>
    <t>humiSteam X-plus 25 kg/h, 230V 3~, regolazione integrata, cilindro apribile</t>
  </si>
  <si>
    <t>humiSteam X-plus 35 kg/h, 230V 3~, regolazione integrata, cilindro apribile</t>
  </si>
  <si>
    <t>humiSteam X-plus 45 kg/h, 230V 3~, regolazione integrata, cilindro apribile</t>
  </si>
  <si>
    <t>humiSteam X-plus 3 kg/h, 400V 3~, regolazione integrata, cilindro apribile</t>
  </si>
  <si>
    <t>humiSteam X-plus 5 kg/h, 400V 3~, regolazione integrata, cilindro apribile</t>
  </si>
  <si>
    <t>humiSteam X-plus 8 kg/h, 400V 3~, regolazione integrata, cilindro apribile</t>
  </si>
  <si>
    <t>humiSteam X-plus 10 kg/h, 400V 3~, regolazione integrata, cilindro apribile</t>
  </si>
  <si>
    <t>humiSteam X-plus 15 kg/h, 400V 3~, regolazione integrata, cilindro apribile</t>
  </si>
  <si>
    <t>humiSteam X-plus 18 kg/h, 400V 3~, regolazione integrata, cilindro apribile</t>
  </si>
  <si>
    <t>humiSteam X-plus 25 kg/h, 400V 3~, regolazione integrata, cilindro apribile</t>
  </si>
  <si>
    <t>humiSteam X-plus 35 kg/h, 400V 3~, regolazione integrata, cilindro apribile</t>
  </si>
  <si>
    <t>humiSteam X-plus 45 kg/h, 400V 3~, regolazione integrata, cilindro apribile</t>
  </si>
  <si>
    <t>humiSteam X-plus 65 kg/h, 400V 3~, regolazione integrata, cilindro apribile</t>
  </si>
  <si>
    <t>humiSteam X-plus 90 kg/h, 400V 3~, regolazione integrata, cilindro apribile</t>
  </si>
  <si>
    <t>humiSteam X-plus 130 kg/h, 400V 3~, regolazione integrata, cilindro apribile</t>
  </si>
  <si>
    <t>humiSteam X-plus 3 kg/h, 460V 3~, regolazione integrata, cilindro apribile</t>
  </si>
  <si>
    <t>humiSteam X-plus 5 kg/h, 460V 3~, regolazione integrata, cilindro apribile</t>
  </si>
  <si>
    <t>humiSteam X-plus 8 kg/h, 460V 3~, regolazione integrata, cilindro apribile</t>
  </si>
  <si>
    <t>humiSteam X-plus 10 kg/h, 460V 3~, regolazione integrata, cilindro apribile</t>
  </si>
  <si>
    <t>humiSteam X-plus 15 kg/h, 460V 3~, regolazione integrata, cilindro apribile</t>
  </si>
  <si>
    <t>humiSteam X-plus 18 kg/h, 460V 3~, regolazione integrata, cilindro apribile</t>
  </si>
  <si>
    <t>humiSteam X-plus 25 kg/h, 460V 3~, regolazione integrata, cilindro apribile</t>
  </si>
  <si>
    <t>humiSteam X-plus 35 kg/h, 460V 3~, regolazione integrata, cilindro apribile</t>
  </si>
  <si>
    <t>humiSteam X-plus 45 kg/h, 460V 3~, regolazione integrata, cilindro apribile</t>
  </si>
  <si>
    <t>humiSteam X-plus 65 kg/h, 460V 3~, regolazione integrata, cilindro apribile</t>
  </si>
  <si>
    <t>humiSteam X-plus 90 kg/h, 460V 3~, regolazione integrata, cilindro apribile</t>
  </si>
  <si>
    <t>humiSteam X-plus 130 kg/h, 460V 3~, regolazione integrata, cilindro apribile</t>
  </si>
  <si>
    <t>humiSteam X-plus 5 kg/h, 575V 3~, regolazione integrata, cilindro apribile</t>
  </si>
  <si>
    <t>humiSteam X-plus 8 kg/h, 575V 3~, regolazione integrata, cilindro apribile</t>
  </si>
  <si>
    <t>humiSteam X-plus 10 kg/h, 575V 3~, regolazione integrata, cilindro apribile</t>
  </si>
  <si>
    <t>WARNING: the input steam flow generates condensation</t>
  </si>
  <si>
    <t>heaterSteam 40 kg/h, 575V 3~, regolazione integrata, versione full optional</t>
  </si>
  <si>
    <t>heaterSteam 40 kg/h , 575Vac 3~, with regulation, full optional version</t>
  </si>
  <si>
    <t>heaterSteam 60 kg/h, 575V 3~, regolazione integrata, versione base</t>
  </si>
  <si>
    <t>heaterSteam 60 kg/h , 575Vac 3~, with regulation, basic version</t>
  </si>
  <si>
    <t>heaterSteam 60 kg/h, 575V 3~, regolazione integrata, versione full optional</t>
  </si>
  <si>
    <t>heaterSteam 60 kg/h , 575Vac 3~, with regulation, full optional version</t>
  </si>
  <si>
    <t>humiSteam X-plus 130 kg/h, 460Vac 3~, with regulation, cleanable cylinder</t>
  </si>
  <si>
    <t>heaterSteam 6 kg/h , 460Vac 3~, EIN/AUS-Betrieb oder proportional Regelung, Vollversion</t>
  </si>
  <si>
    <t>heaterSteam 6 kg/h , 575Vac 3~, EIN/AUS-Betrieb oder proportional Regelung, Vollversion</t>
  </si>
  <si>
    <t>heaterSteam 6 kg/h , 208Vac 1~, EIN/AUS-Betrieb oder proportional Regelung, Vollversion</t>
  </si>
  <si>
    <t>heaterSteam 6 kg/h , 208Vac 3~, EIN/AUS-Betrieb oder proportional Regelung, Vollversion</t>
  </si>
  <si>
    <t>heaterSteam 6 kg/h , 575Vac 3~, mit Feuchte-Regelung, Vollversion</t>
  </si>
  <si>
    <t>heaterSteam 6 kg/h , 208Vac 1~, mit Feuchte-Regelung, Vollversion</t>
  </si>
  <si>
    <t>heaterSteam 6 kg/h , 208Vac 3~, mit Feuchte-Regelung, Vollversion</t>
  </si>
  <si>
    <t>heaterSteam 10 kg/h , 230Vac 3~, EIN/AUS-Betrieb oder proportional Regelung, Vollversion</t>
  </si>
  <si>
    <t>heaterSteam 10 kg/h , 400Vac 3~, EIN/AUS-Betrieb oder proportional Regelung, Vollversion</t>
  </si>
  <si>
    <t>heaterSteam 10 kg/h , 460Vac 3~, EIN/AUS-Betrieb oder proportional Regelung, Vollversion</t>
  </si>
  <si>
    <t>heaterSteam 10 kg/h , 575Vac 3~, EIN/AUS-Betrieb oder proportional Regelung, Vollversion</t>
  </si>
  <si>
    <t>heaterSteam 10 kg/h , 208Vac 3~, EIN/AUS-Betrieb oder proportional Regelung, Vollversion</t>
  </si>
  <si>
    <t>heaterSteam 10 kg/h , 575Vac 3~, mit Feuchte-Regelung, Vollversion</t>
  </si>
  <si>
    <t>heaterSteam 10 kg/h , 208Vac 3~, mit Feuchte-Regelung, Vollversion</t>
  </si>
  <si>
    <t>heaterSteam 20 kg/h , 230Vac 3~, EIN/AUS-Betrieb oder proportional Regelung, Vollversion</t>
  </si>
  <si>
    <t>heaterSteam 10 kg/h , 208Vac 3~, ON/OFF ou proportionnel, version toutes options</t>
  </si>
  <si>
    <t>heaterSteam 10 kg/h , 575Vac 3~, avec régulateur, version toutes options</t>
  </si>
  <si>
    <t>heaterSteam 10 kg/h , 208Vac 3~, avec régulateur, version toutes options</t>
  </si>
  <si>
    <t>heaterSteam 20 kg/h , 230Vac 3~, ON/OFF ou proportionnel, version toutes options</t>
  </si>
  <si>
    <t>heaterSteam 20 kg/h , 400Vac 3~, ON/OFF ou proportionnel, version toutes options</t>
  </si>
  <si>
    <t>heaterSteam 20 kg/h , 460Vac 3~, ON/OFF ou proportionnel, version toutes options</t>
  </si>
  <si>
    <t>heaterSteam 20 kg/h , 575Vac 3~, ON/OFF ou proportionnel, version toutes options</t>
  </si>
  <si>
    <t>heaterSteam 20 kg/h , 208Vac 3~, ON/OFF ou proportionnel, version toutes options</t>
  </si>
  <si>
    <t>heaterSteam 20 kg/h , 575Vac 3~, avec régulateur, version toutes options</t>
  </si>
  <si>
    <t>heaterSteam 20 kg/h , 208Vac 3~, avec régulateur, version toutes options</t>
  </si>
  <si>
    <t>heaterSteam 27 kg/h , 230Vac 3~, ON/OFF ou proportionnel, version toutes options</t>
  </si>
  <si>
    <t>heaterSteam 27 kg/h , 400Vac 3~, ON/OFF ou proportionnel, version toutes options</t>
  </si>
  <si>
    <t>heaterSteam 27 kg/h , 460Vac 3~, ON/OFF ou proportionnel, version toutes options</t>
  </si>
  <si>
    <t>heaterSteam 27 kg/h , 575Vac 3~, ON/OFF ou proportionnel, version toutes options</t>
  </si>
  <si>
    <t>heaterSteam 27 kg/h , 208Vac 3~, ON/OFF ou proportionnel, version toutes options</t>
  </si>
  <si>
    <t>heaterSteam 27 kg/h , 575Vac 3~, avec régulateur, version toutes options</t>
  </si>
  <si>
    <t>heaterSteam 27 kg/h , 208Vac 3~, avec régulateur, version toutes options</t>
  </si>
  <si>
    <t>heaterSteam 40 kg/h , 230Vac 3~, ON/OFF ou proportionnel, version toutes options</t>
  </si>
  <si>
    <t>heaterSteam 40 kg/h , 400Vac 3~, ON/OFF ou proportionnel, version toutes options</t>
  </si>
  <si>
    <t>heaterSteam 40 kg/h , 460Vac 3~, ON/OFF ou proportionnel, version toutes options</t>
  </si>
  <si>
    <t>heaterSteam 40 kg/h , 575Vac 3~, ON/OFF ou proportionnel, version toutes options</t>
  </si>
  <si>
    <t>heaterSteam 40 kg/h , 208Vac 3~, ON/OFF ou proportionnel, version toutes options</t>
  </si>
  <si>
    <t>heaterSteam 40 kg/h , 230Vac 3~, avec régulateur, version toutes options</t>
  </si>
  <si>
    <t>heaterSteam 40 kg/h , 575Vac 3~, avec régulateur, version toutes options</t>
  </si>
  <si>
    <t>heaterSteam 40 kg/h , 208Vac 3~, avec régulateur, version toutes options</t>
  </si>
  <si>
    <t xml:space="preserve">Tubo de llenado de agua l = 1,5 m con conexión 3/4” </t>
  </si>
  <si>
    <t xml:space="preserve">Tubo de llenado de agua l = 3 m con conexión 3/4” </t>
  </si>
  <si>
    <t>Tubo de llenado de agua con válvula antiretorno (incluso de UE065 a UE130)</t>
  </si>
  <si>
    <t>SFC 006: tubo para vaciado condensado Ø=7 mm (el metro) para cabezales ventiladores y boquillas SDPOEM00**</t>
  </si>
  <si>
    <t>humiSteam Basic 15 kg/h, 230V 3~,  todo/nada o proporcional, cilindro no practicable</t>
  </si>
  <si>
    <t>humiSteam Basic 15 kg/h, 230V 3~,  todo/nada o proporcional, cilindro practicable</t>
  </si>
  <si>
    <t>humiSteam Basic 15 kg/h, 400V 3~,  todo/nada o proporcional, cilindro no practicable</t>
  </si>
  <si>
    <t>heaterSteam 40 kg/h, 460V 3~, ON/OFF o proporzionale, versione full optional</t>
  </si>
  <si>
    <t>heaterSteam 40 kg/h , 460Vac 3~, ON/OFF or proportional, full optional version</t>
  </si>
  <si>
    <t>heaterSteam 60 kg/h, 460V 3~, ON/OFF o proporzionale, versione base</t>
  </si>
  <si>
    <t>heaterSteam 60 kg/h , 460Vac 3~, ON/OFF or proportional, basic version</t>
  </si>
  <si>
    <t>heaterSteam 60 kg/h, 460V 3~, ON/OFF o proporzionale, versione full optional</t>
  </si>
  <si>
    <t>heaterSteam 60 kg/h , 460Vac 3~, ON/OFF or proportional, full optional version</t>
  </si>
  <si>
    <t>heaterSteam 27 kg/h, 460V 3~, ON/OFF o proporzionale, versione full optional</t>
  </si>
  <si>
    <t>heaterSteam 27 kg/h , 460Vac 3~, ON/OFF or proportional, full optional version</t>
  </si>
  <si>
    <t>humiSteam X-plus 3 kg/h, 230Vac 3~, avec régulateur, cylindre ouvrant</t>
  </si>
  <si>
    <t>humiSteam X-plus 3 kg/h, 400Vac 3~, avec régulateur, cylindre non ouvrant</t>
  </si>
  <si>
    <t>humiSteam X-plus 3 kg/h, 400Vac 3~, avec régulateur, cylindre ouvrant</t>
  </si>
  <si>
    <t>humiSteam X-plus 3 kg/h, 460Vac 3~, avec régulateur, cylindre non ouvrant</t>
  </si>
  <si>
    <t>humiSteam X-plus 3 kg/h, 460Vac 3~, avec régulateur, cylindre ouvrant</t>
  </si>
  <si>
    <t>humiSteam X-plus 3 kg/h, 208Vac 1~, avec régulateur, cylindre non ouvrant</t>
  </si>
  <si>
    <t>humiSteam X-plus 3 kg/h, 208Vac 1~, avec régulateur, cylindre ouvrant</t>
  </si>
  <si>
    <t>humiSteam X-plus 3 kg/h, 208Vac 3~, avec régulateur, cylindre non ouvrant</t>
  </si>
  <si>
    <t>humiSteam X-plus 3 kg/h, 208Vac 3~, avec régulateur, cylindre ouvrant</t>
  </si>
  <si>
    <t>humiSteam X-plus 5 kg/h, 230Vac 1~, avec régulateur, cylindre non ouvrant</t>
  </si>
  <si>
    <t>humiSteam X-plus 5 kg/h, 230Vac 1~, avec régulateur, cylindre ouvrant</t>
  </si>
  <si>
    <t>heaterSteam 6 kg/h, 575V 3~, ON/OFF o proporzionale, versione base</t>
  </si>
  <si>
    <t>heaterSteam 6 kg/h , 575Vac 3~, ON/OFF or proportional, basic version</t>
  </si>
  <si>
    <t>heaterSteam 6 kg/h, 575V 3~, ON/OFF o proporzionale, versione full optional</t>
  </si>
  <si>
    <t>heaterSteam 6 kg/h , 575Vac 3~, ON/OFF or proportional, full optional version</t>
  </si>
  <si>
    <t>heaterSteam 10 kg/h, 575V 3~, ON/OFF o proporzionale, versione base</t>
  </si>
  <si>
    <t>heaterSteam 10 kg/h , 575Vac 3~, ON/OFF or proportional, basic version</t>
  </si>
  <si>
    <t>heaterSteam 10 kg/h, 575V 3~, ON/OFF o proporzionale, versione full optional</t>
  </si>
  <si>
    <t>humiSteam Basic 10 kg/h, 460V 3~, ON/OFF or proportional, cleanable cylinder</t>
  </si>
  <si>
    <t>humiSteam Basic 15 kg/h, 460V 3~, ON/OFF or proportional, cleanable cylinder</t>
  </si>
  <si>
    <t>humiSteam Basic 18 kg/h, 460V 3~, ON/OFF or proportional, cleanable cylinder</t>
  </si>
  <si>
    <t>humiSteam Basic 25 kg/h, 460V 3~, ON/OFF or proportional, cleanable cylinder</t>
  </si>
  <si>
    <t>humiSteam Basic 35 kg/h, 460V 3~, ON/OFF or proportional, cleanable cylinder</t>
  </si>
  <si>
    <t>humiSteam Basic 45 kg/h, 460V 3~, ON/OFF or proportional, cleanable cylinder</t>
  </si>
  <si>
    <t>humiSteam Basic 65 kg/h, 460V 3~, ON/OFF or proportional, cleanable cylinder</t>
  </si>
  <si>
    <t>humiSteam Basic 5 kg/h, 575V 3~, ON/OFF or proportional, cleanable cylinder</t>
  </si>
  <si>
    <t>humiSteam Basic 8 kg/h, 575V 3~, ON/OFF or proportional, cleanable cylinder</t>
  </si>
  <si>
    <t>humiSteam Basic 10 kg/h, 575V 3~, ON/OFF or proportional, cleanable cylinder</t>
  </si>
  <si>
    <t>humiSteam Basic 15 kg/h, 575V 3~, ON/OFF or proportional, cleanable cylinder</t>
  </si>
  <si>
    <t>humiSteam Basic 18 kg/h, 575V 3~, ON/OFF or proportional, cleanable cylinder</t>
  </si>
  <si>
    <t>humiSteam Basic 25 kg/h, 575V 3~, ON/OFF or proportional, cleanable cylinder</t>
  </si>
  <si>
    <t>humiSteam Basic 35 kg/h, 575V 3~, ON/OFF or proportional, cleanable cylinder</t>
  </si>
  <si>
    <t>humiSteam Basic 45 kg/h, 575V 3~, ON/OFF or proportional, cleanable cylinder</t>
  </si>
  <si>
    <t>humiSteam Basic 65 kg/h, 575V 3~, ON/OFF or proportional, cleanable cylinder</t>
  </si>
  <si>
    <t>humiSteam Basic 3 kg/h, 400V 3~, EIN/AUS-Betrieb oder proportional Regelung, Reinigungsfähig-Dampfzylinder</t>
  </si>
  <si>
    <t>humiSteam Basic 3 kg/h, 460V 3~, EIN/AUS-Betrieb oder proportional Regelung, Reinigungsfähig-Dampfzylinder</t>
  </si>
  <si>
    <t>humiSteam Basic 3 kg/h, 208V 1~, EIN/AUS-Betrieb oder proportional Regelung, Reinigungsfähig-Dampfzylinder</t>
  </si>
  <si>
    <t>humiSteam Basic 3 kg/h, 208V 3~, EIN/AUS-Betrieb oder proportional Regelung, Reinigungsfähig-Dampfzylinder</t>
  </si>
  <si>
    <t>humiSteam Basic 5 kg/h, 230V 1~, EIN/AUS-Betrieb oder proportional Regelung, Reinigungsfähig-Dampfzylinder</t>
  </si>
  <si>
    <t>humiSteam X-plus 3 kg/h, 400V 3~, regulación integrada, cilindro no practicable</t>
  </si>
  <si>
    <t>Stainless steel steam distributor, inlet  Ø=22 mm, l = 600 mm</t>
  </si>
  <si>
    <t>Stainless steel steam distributor, inlet  Ø=30 mm, l = 600 mm</t>
  </si>
  <si>
    <t>Stainless steel steam distributor, inlet  Ø=22 mm, l = 850 mm</t>
  </si>
  <si>
    <t>Stainless steel steam distributor, inlet  Ø=30 mm, l = 850 mm</t>
  </si>
  <si>
    <t>Stainless steel steam distributor, inlet  Ø=30 mm, l = 1,050 mm</t>
  </si>
  <si>
    <t>humiSteam Basic 3 kg/h, 460V 3~,  ON/OFF o proporzionale, cilindro non apribile</t>
  </si>
  <si>
    <t>humiSteam Basic 3 kg/h, 460V 3~, ON/OFF or proportional, disposable cylinder</t>
  </si>
  <si>
    <t>humiSteam Basic 5 kg/h, 460V 3~,  ON/OFF o proporzionale, cilindro non apribile</t>
  </si>
  <si>
    <t>humiSteam Basic 5 kg/h, 460V 3~, ON/OFF or proportional, disposable cylinder</t>
  </si>
  <si>
    <t>heaterSteam 60 kg/h, 400V 3~, ON/OFF o proporzionale, versione full optional</t>
  </si>
  <si>
    <t>Stainless steel steam distributor, inlet  Ø=22 mm, l = 350 mm</t>
  </si>
  <si>
    <t>humiSteam X-plus 5 kg/h, 230Vac 3~, avec régulateur, cylindre non ouvrant</t>
  </si>
  <si>
    <t>humiSteam X-plus 5 kg/h, 230Vac 3~, avec régulateur, cylindre ouvrant</t>
  </si>
  <si>
    <t>humiSteam X-plus 5 kg/h, 400Vac 3~, avec régulateur, cylindre non ouvrant</t>
  </si>
  <si>
    <t>humiSteam X-plus 5 kg/h, 400Vac 3~, avec régulateur, cylindre ouvrant</t>
  </si>
  <si>
    <t>humiSteam X-plus 5 kg/h, 460Vac 3~, avec régulateur, cylindre non ouvrant</t>
  </si>
  <si>
    <t>humiSteam X-plus 5 kg/h, 460Vac 3~, avec régulateur, cylindre ouvrant</t>
  </si>
  <si>
    <t>humiSteam X-plus 5 kg/h, 575Vac 3~, avec régulateur, cylindre non ouvrant</t>
  </si>
  <si>
    <t>humiSteam X-plus 5 kg/h, 575Vac 3~, avec régulateur, cylindre ouvrant</t>
  </si>
  <si>
    <t>humiSteam X-plus 5 kg/h, 208Vac 1~, avec régulateur, cylindre non ouvrant</t>
  </si>
  <si>
    <t>humiSteam X-plus 5 kg/h, 208Vac 1~, avec régulateur, cylindre ouvrant</t>
  </si>
  <si>
    <t>humiSteam X-plus 5 kg/h, 208Vac 3~, avec régulateur, cylindre non ouvrant</t>
  </si>
  <si>
    <t>humiSteam X-plus 5 kg/h, 208Vac 3~, avec régulateur, cylindre ouvrant</t>
  </si>
  <si>
    <t>humiSteam X-plus 8 kg/h, 230Vac 3~, avec régulateur, cylindre non ouvrant</t>
  </si>
  <si>
    <t>humiSteam X-plus 8 kg/h, 230Vac 3~, avec régulateur, cylindre ouvrant</t>
  </si>
  <si>
    <t>humiSteam X-plus 8 kg/h, 400Vac 3~, avec régulateur, cylindre non ouvrant</t>
  </si>
  <si>
    <t>humiSteam X-plus 8 kg/h, 400Vac 3~, avec régulateur, cylindre ouvrant</t>
  </si>
  <si>
    <t>humiSteam X-plus 8 kg/h, 460Vac 3~, avec régulateur, cylindre non ouvrant</t>
  </si>
  <si>
    <t>humiSteam X-plus 8 kg/h, 460Vac 3~, avec régulateur, cylindre ouvrant</t>
  </si>
  <si>
    <t>humiSteam X-plus 8 kg/h, 575Vac 3~, avec régulateur, cylindre non ouvrant</t>
  </si>
  <si>
    <t>humiSteam X-plus 8 kg/h, 575Vac 3~, avec régulateur, cylindre ouvrant</t>
  </si>
  <si>
    <t>humiSteam X-plus 8 kg/h, 208Vac 3~, avec régulateur, cylindre non ouvrant</t>
  </si>
  <si>
    <t>humiSteam X-plus 8 kg/h, 208Vac 3~, avec régulateur, cylindre ouvrant</t>
  </si>
  <si>
    <t>humiSteam X-plus 9 kg/h, 230Vac 1~, avec régulateur, cylindre non ouvrant</t>
  </si>
  <si>
    <t>humiSteam X-plus 9 kg/h, 230Vac 1~, avec régulateur, cylindre ouvrant</t>
  </si>
  <si>
    <t>humiSteam X-plus 9 kg/h, 208Vac 1~, avec régulateur, cylindre non ouvrant</t>
  </si>
  <si>
    <t>humiSteam X-plus 9 kg/h, 208Vac 1~, avec régulateur, cylindre ouvrant</t>
  </si>
  <si>
    <t>humiSteam X-plus 10 kg/h, 230Vac 3~, avec régulateur, cylindre non ouvrant</t>
  </si>
  <si>
    <t>humiSteam X-plus 10 kg/h, 230Vac 3~, avec régulateur, cylindre ouvrant</t>
  </si>
  <si>
    <t>humiSteam X-plus 10 kg/h, 400Vac 3~, avec régulateur, cylindre non ouvrant</t>
  </si>
  <si>
    <t>humiSteam X-plus 10 kg/h, 400Vac 3~, avec régulateur, cylindre ouvrant</t>
  </si>
  <si>
    <t>humiSteam X-plus 10 kg/h, 460Vac 3~, avec régulateur, cylindre non ouvrant</t>
  </si>
  <si>
    <t>humiSteam X-plus 10 kg/h, 460Vac 3~, avec régulateur, cylindre ouvrant</t>
  </si>
  <si>
    <t>humiSteam X-plus 10 kg/h, 575Vac 3~, avec régulateur, cylindre non ouvrant</t>
  </si>
  <si>
    <t>humiSteam X-plus 10 kg/h, 575Vac 3~, avec régulateur, cylindre ouvrant</t>
  </si>
  <si>
    <t>humiSteam X-plus 10 kg/h, 208Vac 3~, avec régulateur, cylindre non ouvrant</t>
  </si>
  <si>
    <t>heaterSteam 20 kg/h , 575Vac 3~, EIN/AUS-Betrieb oder proportional Regelung, Vollversion</t>
  </si>
  <si>
    <t>heaterSteam 20 kg/h , 208Vac 3~, EIN/AUS-Betrieb oder proportional Regelung, Vollversion</t>
  </si>
  <si>
    <t>heaterSteam 20 kg/h , 575Vac 3~, mit Feuchte-Regelung, Vollversion</t>
  </si>
  <si>
    <t>heaterSteam 20 kg/h , 208Vac 3~, mit Feuchte-Regelung, Vollversion</t>
  </si>
  <si>
    <t>heaterSteam 27 kg/h , 230Vac 3~, EIN/AUS-Betrieb oder proportional Regelung, Vollversion</t>
  </si>
  <si>
    <t>heaterSteam 27 kg/h , 400Vac 3~, EIN/AUS-Betrieb oder proportional Regelung, Vollversion</t>
  </si>
  <si>
    <t>heaterSteam 27 kg/h , 460Vac 3~, EIN/AUS-Betrieb oder proportional Regelung, Vollversion</t>
  </si>
  <si>
    <t>heaterSteam 27 kg/h , 575Vac 3~, EIN/AUS-Betrieb oder proportional Regelung, Vollversion</t>
  </si>
  <si>
    <t>heaterSteam 27 kg/h , 208Vac 3~, EIN/AUS-Betrieb oder proportional Regelung, Vollversion</t>
  </si>
  <si>
    <t>heaterSteam 27 kg/h , 575Vac 3~, mit Feuchte-Regelung, Vollversion</t>
  </si>
  <si>
    <t>heaterSteam 27 kg/h , 208Vac 3~, mit Feuchte-Regelung, Vollversion</t>
  </si>
  <si>
    <t>heaterSteam 40 kg/h , 230Vac 3~, EIN/AUS-Betrieb oder proportional Regelung, Vollversion</t>
  </si>
  <si>
    <t>heaterSteam 40 kg/h , 400Vac 3~, EIN/AUS-Betrieb oder proportional Regelung, Vollversion</t>
  </si>
  <si>
    <t>heaterSteam 40 kg/h , 460Vac 3~, EIN/AUS-Betrieb oder proportional Regelung, Vollversion</t>
  </si>
  <si>
    <t>heaterSteam 40 kg/h , 575Vac 3~, EIN/AUS-Betrieb oder proportional Regelung, Vollversion</t>
  </si>
  <si>
    <t>heaterSteam 40 kg/h , 208Vac 3~, EIN/AUS-Betrieb oder proportional Regelung, Vollversion</t>
  </si>
  <si>
    <t>heaterSteam 40 kg/h , 230Vac 3~, mit Feuchte-Regelung, Vollversion</t>
  </si>
  <si>
    <t>heaterSteam 40 kg/h , 575Vac 3~, mit Feuchte-Regelung, Vollversion</t>
  </si>
  <si>
    <t>heaterSteam 40 kg/h , 208Vac 3~, mit Feuchte-Regelung, Vollversion</t>
  </si>
  <si>
    <t>heaterSteam 60 kg/h , 230Vac 3~, EIN/AUS-Betrieb oder proportional Regelung, Vollversion</t>
  </si>
  <si>
    <t>humiSteam Basic 18 kg/h, 575V 3~, ON/OFF or proportional, disposable cylinder</t>
  </si>
  <si>
    <t>humiSteam Basic 25 kg/h, 575V 3~,  ON/OFF o proporzionale, cilindro non apribile</t>
  </si>
  <si>
    <t>humiSteam Basic 25 kg/h, 575V 3~, ON/OFF or proportional, disposable cylinder</t>
  </si>
  <si>
    <t>humiSteam Basic 35 kg/h, 575V 3~,  ON/OFF o proporzionale, cilindro non apribile</t>
  </si>
  <si>
    <t>humiSteam Basic 35 kg/h, 575V 3~, ON/OFF or proportional, disposable cylinder</t>
  </si>
  <si>
    <t>humiSteam Basic 45 kg/h, 575V 3~,  ON/OFF o proporzionale, cilindro non apribile</t>
  </si>
  <si>
    <t>humiSteam Basic 45 kg/h, 575V 3~, ON/OFF or proportional, disposable cylinder</t>
  </si>
  <si>
    <t>humiSteam Basic 65 kg/h, 575V 3~,  ON/OFF o proporzionale, cilindro non apribile</t>
  </si>
  <si>
    <t>humiSteam Basic 65 kg/h, 575V 3~, ON/OFF or proportional, disposable cylinder</t>
  </si>
  <si>
    <t>heaterSteam 2 kg/h, 208V 1~, regolazione integrata, versione full optional</t>
  </si>
  <si>
    <t>heaterSteam 2 kg/h , 208Vac 1~, with regulation, full optional version</t>
  </si>
  <si>
    <t>heaterSteam 4 kg/h, 208V 1~, regolazione integrata, versione base</t>
  </si>
  <si>
    <t>heaterSteam 4 kg/h , 208Vac 1~, with regulation, basic version</t>
  </si>
  <si>
    <t>heaterSteam 4 kg/h, 208V 1~, regolazione integrata, versione full optional</t>
  </si>
  <si>
    <t>heaterSteam 4 kg/h , 208Vac 1~, with regulation, full optional version</t>
  </si>
  <si>
    <t>heaterSteam 6 kg/h, 208V 1~, regolazione integrata, versione base</t>
  </si>
  <si>
    <t>heaterSteam 6 kg/h , 208Vac 1~, with regulation, basic version</t>
  </si>
  <si>
    <t>heaterSteam 6 kg/h, 208V 1~, regolazione integrata, versione full optional</t>
  </si>
  <si>
    <t>heaterSteam 6 kg/h , 208Vac 1~, with regulation, full optional version</t>
  </si>
  <si>
    <t>heaterSteam 27 kg/h, 400V 3~, todo/nada o proporcional, versión básica</t>
  </si>
  <si>
    <t>heaterSteam 6 kg/h, 208V 3~, regolazione integrata, versione base</t>
  </si>
  <si>
    <t>heaterSteam 6 kg/h , 208Vac 3~, with regulation, basic version</t>
  </si>
  <si>
    <t>heaterSteam 6 kg/h, 208V 3~, regolazione integrata, versione full optional</t>
  </si>
  <si>
    <t>heaterSteam 6 kg/h , 208Vac 3~, with regulation, full optional version</t>
  </si>
  <si>
    <t>heaterSteam 10 kg/h, 208V 3~, regolazione integrata, versione base</t>
  </si>
  <si>
    <t>heaterSteam 10 kg/h , 208Vac 3~, with regulation, basic version</t>
  </si>
  <si>
    <t>heaterSteam 10 kg/h, 208V 3~, regolazione integrata, versione full optional</t>
  </si>
  <si>
    <t>heaterSteam 2 kg/h , 208Vac 1~, avec régulateur, version de base</t>
  </si>
  <si>
    <t>heaterSteam 4 kg/h , 230Vac 1~, ON/OFF ou proportionnel, version de base</t>
  </si>
  <si>
    <t>heaterSteam 4 kg/h , 208Vac 1~, ON/OFF ou proportionnel, version de base</t>
  </si>
  <si>
    <t>heaterSteam 4 kg/h , 208Vac 1~, avec régulateur, version de base</t>
  </si>
  <si>
    <t>humiSteam Basic 5 kg/h, 208V 3~,  ON/OFF o proporzionale, cilindro apribile</t>
  </si>
  <si>
    <t>Climate</t>
  </si>
  <si>
    <t>Pompa 60 Hz (Mercato usa) (Solo per gaSteam)</t>
  </si>
  <si>
    <t>Pump 60 Hz (USA Market) (gaSteam only)</t>
  </si>
  <si>
    <t>Pump 50 hz (gaSteam only)</t>
  </si>
  <si>
    <t>Pompa 50 Hz (solo per gaSteam)</t>
  </si>
  <si>
    <t>003</t>
  </si>
  <si>
    <t>UE130XL000010440UG180HD002010440</t>
  </si>
  <si>
    <t>103</t>
  </si>
  <si>
    <t>UG045HD003</t>
  </si>
  <si>
    <t>UG090HD003</t>
  </si>
  <si>
    <t>UG180HD003</t>
  </si>
  <si>
    <t>UG045HD103</t>
  </si>
  <si>
    <t>UG090HD103</t>
  </si>
  <si>
    <t>UG180HD103</t>
  </si>
  <si>
    <t>Umidificatore a gas 45 kg/h - 230 Vac 1~, controllo modulante con regolazione integrata (mercato EU)</t>
  </si>
  <si>
    <t>Umidificatore a gas 90 kg/h - 230 Vac 1~, controllo modulante con regolazione integrata (mercato EU)</t>
  </si>
  <si>
    <t>Umidificatore a gas 180 kg/h - 230 Vac 1~, controllo modulante con regolazione integrata (mercato EU)</t>
  </si>
  <si>
    <t>Umidificatore a gas 45 kg/h - 230 Vac 1~, controllo modulante con regolazione integrata (meracto USA)</t>
  </si>
  <si>
    <t>Umidificatore a gas 90 kg/h - 230 Vac 1~, controllo modulante con regolazione integrata (mercato USA)</t>
  </si>
  <si>
    <t>Umidificatore a gas 180 kg/h - 230 Vac 1~, controllo modulante con regolazione integrata (mercato USA)</t>
  </si>
  <si>
    <t>Gas-fired humidifier 45 kg/h - 230 Vac 1~ (UE market)</t>
  </si>
  <si>
    <t>Gas-fired humidifier 90 kg/h - 230 Vac 1~(UE market)</t>
  </si>
  <si>
    <t>Gas-fired humidifier 180 kg/h - 230 Vac 1~(UE market)</t>
  </si>
  <si>
    <t>Gas-fired humidifier 45 kg/h - 230 Vac 1~(USA market)</t>
  </si>
  <si>
    <t>Gas-fired humidifier 90 kg/h - 230 Vac 1~ (USA market)</t>
  </si>
  <si>
    <t>Gas-fired humidifier 180 kg/h - 230 Vac 1~ (USA market)</t>
  </si>
  <si>
    <t>Humidificateur à gaz 45 kg/h - 230 Vac 1~ (UE Market)</t>
  </si>
  <si>
    <t>Humidificateur à gaz 90 kg/h - 230 Vac 1~  (UE Market)</t>
  </si>
  <si>
    <t>Humidificateur à gaz 180 kg/h - 230 Vac 1~  (UE Market)</t>
  </si>
  <si>
    <t>Gas-Dampfbefeuchter 45 kg/h - 230 Vac 1~  (UE Market)</t>
  </si>
  <si>
    <t>Gas-Dampfbefeuchter 90 kg/h - 230 Vac 1~  (UE Market)</t>
  </si>
  <si>
    <t>Gas-Dampfbefeuchter 180 kg/h - 230 Vac 1~  (UE Market)</t>
  </si>
  <si>
    <t>humidificador a gas 45 kg/h - 230 Vca 1~, control modulante con regulación integrada  (UE Market)</t>
  </si>
  <si>
    <t xml:space="preserve">humidificador a gas 90 kg/h - 230 Vca 1~, control modulante con regulación integrada (UE Market) </t>
  </si>
  <si>
    <t xml:space="preserve">humidificador a gas 180 kg/h - 230 Vca 1~, control modulante con regulación integrada (UE Market) </t>
  </si>
  <si>
    <t>humidificador a gas 45 kg/h - 230 Vca 1~, control modulante con regulación integrada  (USA Market)</t>
  </si>
  <si>
    <t xml:space="preserve">humidificador a gas 90 kg/h - 230 Vca 1~, control modulante con regulación integrada (USA Market) </t>
  </si>
  <si>
    <t xml:space="preserve">humidificador a gas 180 kg/h - 230 Vca 1~, control modulante con regulación integrada (USA Market) </t>
  </si>
  <si>
    <t>Gas-Dampfbefeuchter 45 kg/h - 230 Vac 1~  (USA Market)</t>
  </si>
  <si>
    <t>Gas-Dampfbefeuchter 90 kg/h - 230 Vac 1~  (USA Market)</t>
  </si>
  <si>
    <t>Gas-Dampfbefeuchter 180 kg/h - 230 Vac 1~  (USA Market)</t>
  </si>
  <si>
    <t>Humidificateur à gaz 45 kg/h - 230 Vac 1~ (USA Market)</t>
  </si>
  <si>
    <t>Humidificateur à gaz 90 kg/h - 230 Vac 1~ (USA Market)</t>
  </si>
  <si>
    <t>Humidificateur à gaz 180 kg/h - 230 Vac 1 ~(USA Market)</t>
  </si>
  <si>
    <t>Avviamento della macchina</t>
  </si>
  <si>
    <t>Contact Carel S.p.a</t>
  </si>
  <si>
    <t>Contacter Carel S.p.a</t>
  </si>
  <si>
    <t>Pongase en contacto con Carel S.p.a</t>
  </si>
  <si>
    <t>Bitte das CAREL KONTAKTIEREN</t>
  </si>
  <si>
    <t>UE</t>
  </si>
  <si>
    <t>WTS</t>
  </si>
  <si>
    <t>Extra macchina successiva</t>
  </si>
  <si>
    <t>AVVIAMENTO</t>
  </si>
  <si>
    <t>ROL1006U00</t>
  </si>
  <si>
    <t>ROL3206U00</t>
  </si>
  <si>
    <t>AUC2000000</t>
  </si>
  <si>
    <t>Osmosi [codice] [l/h]</t>
  </si>
  <si>
    <t>Vaso d’espansione [codice] [l/h]</t>
  </si>
  <si>
    <t>ROL100***   160 l/h</t>
  </si>
  <si>
    <t>AUC2000000    200 l/h</t>
  </si>
  <si>
    <t>UG0180HD002</t>
  </si>
  <si>
    <t>ROL320***   320 l/h</t>
  </si>
  <si>
    <t>UR002***01</t>
  </si>
  <si>
    <t xml:space="preserve">ROC0255000 </t>
  </si>
  <si>
    <t>ROKC00KTVE    15 l/h</t>
  </si>
  <si>
    <t>UR004***01</t>
  </si>
  <si>
    <t>ROC0255000</t>
  </si>
  <si>
    <t>UR006***01</t>
  </si>
  <si>
    <t>UR010***01</t>
  </si>
  <si>
    <t>UR020***01</t>
  </si>
  <si>
    <t>ROL060***…85 l/h</t>
  </si>
  <si>
    <t>AUC1000000    100 l/h</t>
  </si>
  <si>
    <t>UR027***01</t>
  </si>
  <si>
    <t>UR040***01</t>
  </si>
  <si>
    <t>UR060***01</t>
  </si>
  <si>
    <t>AUC3000000    300 l/h</t>
  </si>
  <si>
    <t>AUC1000000</t>
  </si>
  <si>
    <t>AUC3000000</t>
  </si>
  <si>
    <t>ROL0605U00</t>
  </si>
  <si>
    <t>ROL0606U00</t>
  </si>
  <si>
    <t>Sistema WTS a osmosi inversa</t>
  </si>
  <si>
    <t>WTS revers osmosis system</t>
  </si>
  <si>
    <t>Sistema osmosi inversa 100 l/h – 230V 50Hz – per acciaio</t>
  </si>
  <si>
    <t>Sistema osmosi inversa 100 l/h – 230V 60Hz – per acciaio</t>
  </si>
  <si>
    <t>Sistema osmosi inversa 320 l/h – 230V 50Hz – per acciaio</t>
  </si>
  <si>
    <t>Sistema osmosi inversa 320 l/h – 230V 60Hz – per acciaio</t>
  </si>
  <si>
    <t>Codice umidif</t>
  </si>
  <si>
    <t>Cod. Osmosi</t>
  </si>
  <si>
    <t>Descrizione cod osmosi</t>
  </si>
  <si>
    <t>Cod. Vaso espansione</t>
  </si>
  <si>
    <t>descizione vaso di espansione</t>
  </si>
  <si>
    <t>Sistema osmosi inversa 60 l/h – 230V 50Hz – per acciaio</t>
  </si>
  <si>
    <t>Sistema osmosi inversa 60 l/h – 230V 60Hz – per acciaio</t>
  </si>
  <si>
    <t>50 Hz</t>
  </si>
  <si>
    <t>60 Hz</t>
  </si>
  <si>
    <t>ROL1005U00</t>
  </si>
  <si>
    <t>ROL3205U00</t>
  </si>
  <si>
    <t>ROKL00AS01</t>
  </si>
  <si>
    <t>Antiscalant 25Kg</t>
  </si>
  <si>
    <t>ROKL00AS00</t>
  </si>
  <si>
    <t>Antiscalant NSF - 25Kg</t>
  </si>
  <si>
    <t>Senza Certificazione NSF</t>
  </si>
  <si>
    <t>Con Certificazione NSF</t>
  </si>
  <si>
    <t>Cod. Humid</t>
  </si>
  <si>
    <t>Cod. WTS</t>
  </si>
  <si>
    <t>Descrizione WTS</t>
  </si>
  <si>
    <t>Cod. vaso</t>
  </si>
  <si>
    <t>Descizione Vaso</t>
  </si>
  <si>
    <t>Avviamento del WTS</t>
  </si>
  <si>
    <t>Avviamento della prima macchina</t>
  </si>
  <si>
    <t>Avviamento Macchine Extra</t>
  </si>
  <si>
    <t>Avviamento WTS macchine EXTRA</t>
  </si>
  <si>
    <t>Avviamento WTS della prima macchina</t>
  </si>
  <si>
    <t>Contattare Carel S.p.a</t>
  </si>
  <si>
    <t>(Prezzo valido per distanze inferiori a 50 Km dal centro di assistenza)</t>
  </si>
  <si>
    <t xml:space="preserve">Commissioning </t>
  </si>
  <si>
    <t>Commissioning WTS system</t>
  </si>
  <si>
    <t>Avviamento per le prime due macchine</t>
  </si>
  <si>
    <t>Commissioning for the 1st humidification system</t>
  </si>
  <si>
    <t>Commissioning for the first 2 humidification systems</t>
  </si>
  <si>
    <t>Commissioning for the 1st WTS system</t>
  </si>
  <si>
    <t>Commissioning for EXTRA humidification system</t>
  </si>
  <si>
    <t>Commissioning for EXTRA WTS system</t>
  </si>
  <si>
    <t>Reverse osmosis system 100 l / h - 230V 50Hz - for steel</t>
  </si>
  <si>
    <t>Reverse osmosis system 100 l / h - 230V 60Hz - for steel</t>
  </si>
  <si>
    <t>Reverse osmosis system 320 l / h - 230V 50Hz - for steel</t>
  </si>
  <si>
    <t>Reverse osmosis system 320 l / h - 230V 60Hz - for steel</t>
  </si>
  <si>
    <t>Reverse osmosis system 60 l / h - 230V 50Hz - for steel</t>
  </si>
  <si>
    <t>Reverse osmosis system 60 l / h - 230V 60Hz - for steel</t>
  </si>
  <si>
    <t>No NSF Certification</t>
  </si>
  <si>
    <t>With NSF Certification</t>
  </si>
  <si>
    <r>
      <t xml:space="preserve">WTS </t>
    </r>
    <r>
      <rPr>
        <i/>
        <sz val="10"/>
        <color indexed="8"/>
        <rFont val="Verdana"/>
        <family val="2"/>
      </rPr>
      <t>compact</t>
    </r>
    <r>
      <rPr>
        <sz val="10"/>
        <color indexed="8"/>
        <rFont val="Verdana"/>
        <family val="2"/>
      </rPr>
      <t xml:space="preserve"> 25 KG/H CON POMPA</t>
    </r>
  </si>
  <si>
    <r>
      <t xml:space="preserve">WTS </t>
    </r>
    <r>
      <rPr>
        <i/>
        <sz val="10"/>
        <color indexed="8"/>
        <rFont val="Verdana"/>
        <family val="2"/>
      </rPr>
      <t>compact</t>
    </r>
    <r>
      <rPr>
        <sz val="10"/>
        <color indexed="8"/>
        <rFont val="Verdana"/>
        <family val="2"/>
      </rPr>
      <t xml:space="preserve"> 25 KG/H with pump</t>
    </r>
  </si>
  <si>
    <t>ROKC00KTVE</t>
  </si>
  <si>
    <t>Kit vaso di espansione con tubi e raccordi</t>
  </si>
  <si>
    <t>Attenzione! Il numero delle Macchine è diverso dal numero di avviamenti</t>
  </si>
  <si>
    <t>001;002;004;009</t>
  </si>
  <si>
    <t>003;</t>
  </si>
  <si>
    <t>005;</t>
  </si>
  <si>
    <t>UE006</t>
  </si>
  <si>
    <t>006;</t>
  </si>
  <si>
    <t>018;065;090;130;040;060</t>
  </si>
  <si>
    <t>008;010;015;025;035;045;020;027</t>
  </si>
  <si>
    <t>005</t>
  </si>
  <si>
    <t>008</t>
  </si>
  <si>
    <t>009</t>
  </si>
  <si>
    <t>010</t>
  </si>
  <si>
    <t>015</t>
  </si>
  <si>
    <t>018</t>
  </si>
  <si>
    <t>025</t>
  </si>
  <si>
    <t>035</t>
  </si>
  <si>
    <t>045</t>
  </si>
  <si>
    <t>065</t>
  </si>
  <si>
    <t>090</t>
  </si>
  <si>
    <t>013</t>
  </si>
  <si>
    <t>002</t>
  </si>
  <si>
    <t>004</t>
  </si>
  <si>
    <t>006</t>
  </si>
  <si>
    <t>020</t>
  </si>
  <si>
    <t>027</t>
  </si>
  <si>
    <t>040</t>
  </si>
  <si>
    <t>060</t>
  </si>
  <si>
    <t>UG230</t>
  </si>
  <si>
    <t>25 l/h</t>
  </si>
  <si>
    <t>Prima/prime due macchine</t>
  </si>
  <si>
    <t>Tot Costo servizi</t>
  </si>
  <si>
    <t>Total Service Costs</t>
  </si>
  <si>
    <t>View Partial net prices</t>
  </si>
  <si>
    <t>Visuallizzare prezzi netti parziali</t>
  </si>
  <si>
    <t>Frequenza di rete</t>
  </si>
  <si>
    <t>Supporto tecnico pratico</t>
  </si>
  <si>
    <t>Tecnical and practical support</t>
  </si>
  <si>
    <t>Training Teorico-2h in cantiere</t>
  </si>
  <si>
    <t>Training- 2 h at yard</t>
  </si>
  <si>
    <t>[1] Non include avviamento</t>
  </si>
  <si>
    <t>[1] Commissioning not included</t>
  </si>
  <si>
    <t>Net price</t>
  </si>
  <si>
    <t>grid frequency</t>
  </si>
  <si>
    <t>[2]Incontro con capocantiere per consulenza tecnica nella fase di pre-installazione (ad umidificatore già venduto) per tipologia di umidificatore con spiegazione
dello stesso (Manuale d'uso alla mano). Compilazione di una check list approfondita riferita al manuale d'uso utilizzato (cod. manuale + pagina di riferimento).</t>
  </si>
  <si>
    <t>Attention! Number of humidifiers and number of commissioning are not equal</t>
  </si>
  <si>
    <t>Potenze UR</t>
  </si>
  <si>
    <t>heaterSteam 2 kg/h, 230V 1~,ON/OFF o proporzionale, versione base</t>
  </si>
  <si>
    <t>2A</t>
  </si>
  <si>
    <t>2B</t>
  </si>
  <si>
    <t>1B</t>
  </si>
  <si>
    <t>4B</t>
  </si>
  <si>
    <t>A</t>
  </si>
  <si>
    <t>B</t>
  </si>
  <si>
    <t>Utilizzare kit Carel a Y cod. UEKY000000, ingresso 40 mm e 2 uscite 30 mm</t>
  </si>
  <si>
    <t>Utilizzare kit Carel a Y cod. UEKY40400, ingresso 40 mm e 2 uscite 40 mm</t>
  </si>
  <si>
    <t xml:space="preserve">UE045 </t>
  </si>
  <si>
    <t>230 3 phase</t>
  </si>
  <si>
    <t>A/B</t>
  </si>
  <si>
    <t>Prezzo di listino</t>
  </si>
  <si>
    <t>List price</t>
  </si>
  <si>
    <t>Precio de lista</t>
  </si>
  <si>
    <t>Listenpreis</t>
  </si>
  <si>
    <t>Prix de liste</t>
  </si>
  <si>
    <t>Prezzo netto</t>
  </si>
  <si>
    <t xml:space="preserve">Per brevi distanze di assorbimento, valutare l'installazione di distributori  ultimateSAM </t>
  </si>
  <si>
    <t>For short absorption distance, take into account the installation of ultimateSAM distributors</t>
  </si>
  <si>
    <t>lunghezza DP</t>
  </si>
  <si>
    <t>Soluzione</t>
  </si>
  <si>
    <t>portata max DP</t>
  </si>
  <si>
    <t>diametro in DP</t>
  </si>
  <si>
    <t>DP ci stà in condotta?</t>
  </si>
  <si>
    <t>DP portata sufficiente?</t>
  </si>
  <si>
    <t># DP da usare</t>
  </si>
  <si>
    <t>DP ha diametro = hum?</t>
  </si>
  <si>
    <t>diametro umidificatore:</t>
  </si>
  <si>
    <t>diametro</t>
  </si>
  <si>
    <t>Con raccordo?</t>
  </si>
  <si>
    <t>portate</t>
  </si>
  <si>
    <t># uscite umidificatore</t>
  </si>
  <si>
    <t>Quale raccordo?</t>
  </si>
  <si>
    <t>230V, 3phase</t>
  </si>
  <si>
    <t>Portata min per il DP</t>
  </si>
  <si>
    <t>Gestione delle eccezioni</t>
  </si>
  <si>
    <t>eccezione UE045</t>
  </si>
  <si>
    <t>codice che può usare entrambi i raccordi; test nella riga 38, per diametro DP e tipo di raccordo)</t>
  </si>
  <si>
    <t>Per tabella selection</t>
  </si>
  <si>
    <t>#raccordi</t>
  </si>
  <si>
    <t>[3] Durata massima in cantiere: 4 h.
Attività:
Aiuto tecnico-pratico all'installatore per i collegamenti
- idrici
- di segnale interni della macchina
- per la distribuzione del vapore (posizionamento lance
previo forature già predisposte da parte del cliente)
- AVVIAMENTO UMIDIFICATORE</t>
  </si>
  <si>
    <t>Note:</t>
  </si>
  <si>
    <t>HMCOMMKF0</t>
  </si>
  <si>
    <t>HMMTCT000</t>
  </si>
  <si>
    <t>=</t>
  </si>
  <si>
    <t>Scelta del distributore di vapore (se richiesto)</t>
  </si>
  <si>
    <t>Distributore di vapore suggerito automaticamente dal tool</t>
  </si>
  <si>
    <t>Steam distributor suggested automatically by the tool</t>
  </si>
  <si>
    <t>Choice of steam distributor by the user (not automatically by the tool)</t>
  </si>
  <si>
    <t>ATTENZIONE: Codice del DP non riconosciuto</t>
  </si>
  <si>
    <t>Attention! DP code non recognized</t>
  </si>
  <si>
    <t>Choise of the Steam Distributor (if required)</t>
  </si>
  <si>
    <t>Codice del Distributore di Vapore</t>
  </si>
  <si>
    <t>Steam distributor code</t>
  </si>
  <si>
    <t>Inserisci il codice del Distributore di vapore desiderato (1)</t>
  </si>
  <si>
    <t>Insert the required Steam Distributor code(1)</t>
  </si>
  <si>
    <t>(1) Comprende anche DP per applicazioni speciali</t>
  </si>
  <si>
    <t>(1)"Special application" DP code included</t>
  </si>
  <si>
    <t>Carico di umidificazione</t>
  </si>
  <si>
    <t>Humidification load</t>
  </si>
  <si>
    <t>Lunghezza interna</t>
  </si>
  <si>
    <t>Internal lenght</t>
  </si>
  <si>
    <t>STEP 4</t>
  </si>
  <si>
    <t>Scelta del distributore di vapore dall'utente (non automaticamente dal tool)</t>
  </si>
  <si>
    <t>ISTRUZIONI: inserire i dati nelle caselle grigie. I dati elaborati compaiono nelle caselle color verde</t>
  </si>
  <si>
    <t xml:space="preserve">INSTRUCTION: insérer les données dans les cellules grisées. Les résultats apparaissent dans les cellules vert. </t>
  </si>
  <si>
    <t>Anleitung: Die Eingabe der Daten erfolgt in die grauen Zellen. Die berechneten Ergebnisse werden in den grün Zellen ausgegeben.</t>
  </si>
  <si>
    <t>INSTRUCCIONES: Insertar los datos en las casillas grises. Los datos elaborados aparecen en las casillas de color verde.</t>
  </si>
  <si>
    <t>Scelto dall'utente</t>
  </si>
  <si>
    <t>Scelto automaticamente dal tool</t>
  </si>
  <si>
    <t>Chosen by the tool</t>
  </si>
  <si>
    <t>Chosen by the user</t>
  </si>
  <si>
    <t>AUTOCLAVE 100 LITRI VERTICALE (Vaso di espansione)</t>
  </si>
  <si>
    <t>AUTOCLAVE 200 LITRI VERTICALE (vaso di espansione)</t>
  </si>
  <si>
    <t>AUTOCLAVE 300 LITRI VERTICALE (vaso di espansione)</t>
  </si>
  <si>
    <t>AUTOCLAVE 100 Liters (expansion vessel)</t>
  </si>
  <si>
    <t>AUTOCLAVE 200 Liters (expansion vessel)</t>
  </si>
  <si>
    <t>AUTOCLAVE 300 Liters (expansion vessel)</t>
  </si>
  <si>
    <t>Kit expansion vessel with hoses and fittings</t>
  </si>
  <si>
    <t>Antiscale liquid 25Kg (antiscalant)</t>
  </si>
  <si>
    <t>Antiscale liquid NSF- 25Kg (antiscalant)</t>
  </si>
  <si>
    <t xml:space="preserve">humiSteam standard Tender text
Immersed-electrodes steam humidifier for ambient and AHU/duct using drinkable mains water (1.5, 3, 5, 8, 9, 10, 15, 18, 25, 35, 45, 65, 90, 130 kg/h).
Modulating models UE*X*
Modulating models UE*X* shall have the following characteristics (1.5, 3, 5, 8, 9, 10, 15, 18, 25, 35, 45, 65, 90, 130 kg/h):
• compliances: CE, CETLUS, TÜV PRODUCT SERVICE, PCT
• metallic housing with cover removable to allow 180° front access for easy maintenance
• electric section separated by a divider wall and including the power circuitry and the control components, manufactured according to the state-of-the-art norms
• standard cylinder: disposable cylinder, rated HB according to UL 94, or cleanable cylinder, rated V0 according to UL 94
• supply water: from mains, drinkable, conductivity range (min) 75 – 1250 µS/cm
• drain pump
• bottom pan that collects and drains small leaks
• immersed electrodes made of galvanized steel with high contact surface
• embedded conductimetre for the automatic management of the dilution drains and subsequent fills according to the supply water quality
• ON/OFF digital input for remote enabling
• cumulative alarm relay for the remote signalling of faults and/or malfunctions
• 2 analogue inputs for probes and external demand. The type of electrical signal for both shall be selectable via keyboard among: on/off (humidistat), 0…10 V, 2…10 V, 0…1 V, 0…20 mA, 4…20 mA, 0-135 Ohm, 135-10000 Ohm, NTC
• RS485 serial port ready to communicate with CAREL devices or via Modbus® RTU
• pHC control (pCO family) with user-friendly graphic display (icons and messages readily understandable) and with algorithms that automatically adapt the operations to the water quality
• controller with 6 algorithms always available to the user: on/off, production proportional to an external demand, production proportional to an external demand and modulating limiting probe, built-in %rH controller with ambient probe, built-in %rH controller with ambient probe and modulating limiting probe, built-in temperature controller with ambient probe
• graphic display remotable up to 50 m without external power supply (200 m with external power supply) to show demand, ambient probe reading, limit probe reading, steam production, alarms, system parameters
• keyboard to change the displayed value, edit the system parameters, reset the alarms
• maximum production can be manually set from 20% to 100% of the rated production (from 10% for models 90 and 130 kg/h)
• patented antifoam algorithm (AFS) to prevent irregular operation due to the formation of foam inside the cylinder
• daily and weekly on/off timers
• up to 4 different daily automatic set points shall be editable
• display of the supply water conductivity
• selection of the language
• selection of the units of measure (SI or Imperial)
• the relay logic shall be selectable (NO or NC)
• alarm history (200 alarms)
• the humidifier shall also be enabled/disabled from the keyboard
• automatic management of the lack of supply water with automatic restart when the water is available again
• automatic initial self-test
• maintenance warnings and alarms, both automatic and timed (the latter can be set by the user)
• the boiler(s) shall be automatically emptied in case of prolonged inactivity, with the inactivity time-out user-editable
• periodical flush (user-editable) to remove deposits that build up with turbid water (e.g., humus)
• start/stop of an external de-humidifier according to a user-editable %rH set point
• it shall be possible to force each digital output for servicing
• models 90 and 130 kg/h with 2 boilers: selection between sequence and parallel duty of the boilers
• optional: communication via LON®, BACnet™ over Ethernet, BACnet™ over IP, BACnet™ over MS/TP, TCP/IP, SNMP, DHCP, HTTP, FTP
• optional: remote diagnostic via GSM
• optional: wall-mounting %rH probe for civil environment (10 %rH … 90 %rH)
• optional: %rH &amp; temperature industrial probe min. IP54 (0 %rH … 100 %rH, -10T70 °C)
• optional: %rH probe for duct min. IP40 (10 %rH … 90 %rH)
• optional: %rH limit probe for duct min. IP40 (0 %rH … 100 %rH)
• optional: temperature probe min. IP55 (-30T90 °C)
Modulating models UE*W*
Modulating models UE*W* dedicated to steam baths shall have the following characteristics (1.5, 3, 5, 8, 9, 10, 15, 18, 25, 35, 45, 65 kg/h):
• compliances: CE, CETLUS, TÜV PRODUCT SERVICE, PCT
• metallic housing with cover removable to allow 180° front access for easy maintenance
• electric section separated by a divider wall and including the power circuitry and the control components, manufactured according to the state-of-the-art norms
• disposable cylinder as standard, rated HB according to UL 94
• cleanable cylinder as optional, rated V0 according to UL 94
• immersed electrodes made of galvanized steel with high contact surface
• embedded conductimetre for the automatic management of the dilution drains and subsequent fills according to the supply water quality
• ON/OFF digital input for remote enabling
• cumulative alarm relay for the remote signalling of faults and/or malfunctions
• 2 analogue inputs for probes and external demand. The type of electrical signal for both shall be selectable via keyboard among: on/off (humidistat), 0…10 V, 2…10 V, 0…1 V, 0…20 mA and 4…20 mA
• RS485 serial port ready to communicate with CAREL devices or via Modbus® RTU
• pHC control (pCO family) with user-friendly graphic display (icons and messages readily understandable)
• the control is for temperature only by means of 1 or 2 temperature probes and automatically adapts the operations to the water quality
• the readings of the 2 probes shall be averaged and the weighs of the average shall be user editable
• graphic display remotable up to 50 m without external power supply (200 m with external power supply) to show demand, ambient probe reading, limit probe reading, steam production, alarms, system parameters
• keyboard to change the displayed value, edit the system parameters, reset the alarms
• maximum production can be manually set from 20% to 100% of the rated production
• start/stop of up to 3 external pump essences with user-editable timings
• start/stop of an external sanitizer pump with user-editable timings
• start/stop of 2 fans
• on/off of the internal light
• patented antifoam algorithm (AFS) to prevent irregular operation due to the formation of foam inside the cylinder
• daily and weekly on/off timers
• up to 4 different daily automatic set points shall be editable
• display of the supply water conductivity
• selection of the language
• selection of the units of measure (SI or Imperial)
• the relay logic shall be selectable (NO or NC)
• alarm history (200 alarms)
• the humidifier shall also be enabled/disabled from the keyboard
• automatic management of the lack of supply water with automatic restart when the water is available again
• automatic initial self-test
• maintenance warnings and alarms, both automatic and timed (the latter can be set by the user)
• the boiler(s) shall be automatically emptied in case of prolonged inactivity, with the inactivity time-out user-editable
• periodical flush (user-editable) to remove deposits that build up with turbid water (e.g., humus)
• start/stop of an external de-humidifier according to a user-editable %rH set point
• it shall be possible to force each digital output for servicing
• optional: communication via LON®, BACnet™ over Ethernet, BACnet™ over IP, BACnet™ over MS/TP, TCP/IP, SNMP, DHCP, HTTP, FTP
• optional: remote diagnostic via GSM
• optional: %rH &amp; temperature industrial probe min. IP54 (0 %rH … 100 %rH, -10T70 °C)
• optional: temperature probe min. IP55 (-30T90 °C)
Modulating models UE*Y*
Modulating models UE*Y* shall have the following characteristics (1.5, 3, 5, 8, 9, 10, 15, 18, 25, 35, 45, 65 kg/h):
• compliances: CE, CETLUS, TÜV PRODUCT SERVICE, PCT
• metallic housing with cover removable to allow 180° front access for easy maintenance
• electric section separated by a divider wall and including the power circuitry and the control components, manufactured according to the state-of-the-art norms
• standard cylinder: disposable cylinder, rated HB according to UL 94, or cleanable cylinder, rated V0 according to UL 94
• supply water: from mains, drinkable, conductivity range (min) 75 – 1250 µS/cm
• drain pump
• bottom pan that collects and drains small leaks
• immersed electrodes made of galvanized steel with high contact surface
• embedded conductimetre for the automatic management of the dilution drains and subsequent fills according to the supply water quality
• ON/OFF digital input for remote enabling
• cumulative alarm relay for the remote signalling of faults and/or malfunctions
• 1 analogue input for the external demand. The type of electrical signal shall be selectable via keyboard among: on/off (humidistat), 0…10 V, 2…10 V, 0…20 mA and 4…20 mA
• RS485 serial port ready to communicate with CAREL devices or via Modbus® RTU
• user-friendly terminal with display with icons and with algorithms that automatically adapt the operations to the water quality
• controller with 2 algorithms always available to the user: on/off and production proportional
• terminal remotable up to 20 m to show demand, steam production, alarms, system parameters
• keyboard to change the displayed value, edit the system parameters, reset the alarms
• maximum production can be manually set from 20% to 100% of the rated production 
• patented antifoam algorithm (AFS) to prevent irregular operation due to the formation of foam inside the cylinder
• display of the supply water conductivity
• selection of the units of measure (SI or Imperial)
• the relay logic shall be selectable (NO or NC)
• alarm history (200 alarms)
• automatic management of the lack of supply water with automatic restart when the water is available again
• automatic initial self-test
• maintenance warnings and alarms, both automatic and timed (the latter can be set by the user)
• the boiler(s) shall be automatically emptied in case of prolonged inactivity, with the inactivity time-out user-editable
• periodical flush (user-editable) to remove deposits that build up with turbid water (e.g., humus)
Main technical specs:
Rated steam production …………….………kg/h
Rated power input …………………………..kW
Power supply …………..…………………..VAC 1-phase / 3-phase
No. of steam outlets …….…………………….
Steam outlet diameter ……………….……..mm
Steam pressure……………….………….…..Pa
Supply water connection…………..…3/4” G MALE
Drain connection…………….……………..……40 mm
Accessories for duct installations:
Steam lance made of AISI304 with fitting flange and condensate outlet; length …….mm
Steam nozzle distributor
Accessories for ambient installations:
Steam distributor with embedded blower, powder-painted metallic enclosure and air flow deflector for an even distribution of the steam into the ambient.
</t>
  </si>
  <si>
    <t xml:space="preserve">humiSteam TESTO per capitolato
Umidificatore isotermico a vapore per ambiente e condotta ad elettrodi immersi in acqua potabile di rete (1.5, 3, 5, 8, 9, 10, 15, 18, 25, 35, 45, 65, 90, 130 kg/h).
I modelli modulanti UE*X* devono avere le seguenti caratteristiche (1.5, 3, 5, 8, 9, 10, 15, 18, 25, 35, 45, 65, 90, 130 kg/h):
- conformità CE, CETLUS, TÜV PRODUCT SERVICE, PCT
- copertura in lamiera pressopiegata e pre-verniciata facilmente rimuovibile frontalmente per le operazioni d’assistenza e manutenzione
- vano elettrico separato da setto metallico e comprendente la circuiteria di potenza e i componenti di regolazione e controllo, cablato a regola d’arte secondo le vigenti normative di sicurezza
- cilindri di serie usa-e-getta in materiale plastico HB secondo UL94  oppure cilindri apribili e pulibili di tipo V0 secondo UL94
- acqua di carico: di rete, potabile (range minimo di conducibilità accettabile 75 – 1250 µS/cm)
- elettrodi immersi in acciaio zincato ad elevata superficie di scambio
- pompa di scarico
- vasca di raccolta sul fondo per prevenire allagamenti in casi di eventuali perdite d’acqua
- conducimetro integrato per una gestione completamente automatica di carichi e scarichi in funzione del tipo d’acqua di alimentazione
- ingresso digitale ON/OFF per l’abilitazione remota
- relè cumulativo di allarme per la segnalazione remota di guasti e/o malfunzionamenti
- due ingressi analogici per segnale esterno di richiesta e sonde: gli ingressi sono impostabili da tastiera per segnale di tipo on/off (umidostato), 0…10 V, 2…10 V, 0…1 V, 0…20 mA, 4…20 mA, 0-135 Ohm, 135-10000 Ohm, NTC
- possibilità di collegare una sonda limite per evitare di bagnare la condotta
- porta seriale RS485 predisposta per la comunicazione con i sistemi CAREL o via Modbus® RTU
- controllo pHC (famiglia pCO) con display grafico per messaggistica ad icone di facile ed immediata comprensione e con algoritmi di regolazione auto-adattantesi alla qualità dell’acqua
- controllore con 6 algoritmi di regolazione attivabili in ogni momento: on/off, proporzionale da segnale esterno, proporzionale da segnale esterno e sonda modulante limite, regolatore integrato di umidità con sonda ambiente, regolatore integrato di umidità con sonda ambiente e sonda modulante limite, regolatore integrato di temperatura per bagni turchi
- display grafico remotabile fino a 50 m senza alimentatore esterno (fino a 200 m con alimentatore esterno) per la visualizzazione della richiesta di produzione, misura della sonda ambientale, misura della sonda limite, produzione istantanea di vapore, allarmi, parametri di sistema
- tastiera per cambiare la visualizzazione a display, modificare i parametri di sistema, azzerare gli allarmi
- impostazione manuale e modulazione della massima portata di vapore dal 20% al 100% della portata nominale (dal 10% per le unità da 90 e 130 kg/h)
- algoritmo antischiuma brevettato (AFS) per prevenire l’irregolarità di funzionamento dovuto alla formazione di schiuma all’interno del cilindro
- definizione di fasce orarie per l’on/off giornaliero e settimanale
- definizione di max. 4 set point in funzione dell’ora del giorno
- visualizzazione della conducibilità dell’acqua di alimentazione
- scelta della lingua
- scelta del sistema di unità di misura (SI o Imperiale)
- scelta della logica del relè d’allarme (NO o NC)
- storico allarmi (200 allarmi)
- disabilitazione anche da tastiera
- gestione della mancanza d’acqua di alimentazione con ripartenza automatica in caso di ritornata disponibilità
- auto-diagnosi iniziale automatica
- avvisi di manutenzione automatici e temporizzati (questi ultimi impostabili a seconda delle esigenze)
- svuotamento automatico del cilindro bollitore in caso di fermo prolungato (impostabile) per evitare la formazione di acqua stagnante
- svuotamento periodico del cilindro bollitore (impostabile) per rimuovere i fanghi che si formano con acqua ricche di sostanze in sospensione (per esempio, humus)
- start/stop di un de-umidificatore esterno in base a un set point di umidità impostabile
- attivazione manuale delle uscite digitali per manutenzione
- modelli da 90 e 130 kg/h con 2 cilindri: selezione del funzionamento in serie o in parallelo dei due cilindri
- optional: comunicazione con BMS LON®, BACnet™ over Ethernet, BACnet™ over IP, BACnet™ over MS/TP, TCP/IP, SNMP, DHCP, HTTP, FTP
- optional: diagnostica remota via GSM
- optional: sonda di umidità a muro per ambiente civile (10 %rH … 90 %rH)
- optional: sonda di umidità/temperatura a muro per ambiente industriale min. IP54 (0 %rH … 100 %rH, -10T70 °C)
- optional: sonda di umidità per condotta min. IP40 (10 %rH … 90 %rH)
- sonda di umidità limite per condotta min. IP40 (0 %rH … 100 %rH)
- optional: sonda di temperatura universale min. IP55 (-30T90 °C)
I modelli modulanti UE*W* per bagni turchi devono avere le seguenti caratteristiche (1.5, 3, 5, 8, 9, 10, 15, 18, 25, 35, 45, 65 kg/h):
- conformità CE, CETLUS, TÜV PRODUCT SERVICE, PCT
- copertura in lamiera pressopiegata e pre-verniciata facilmente rimuovibile frontalmente per le operazioni d’assistenza e manutenzione
- vano elettrico separato da setto metallico e comprendente la circuiteria di potenza e i componenti di regolazione e controllo, cablato a regola d’arte secondo le vigenti normative di sicurezza
- cilindri usa-e-getta in materiale plastico HB secondo UL94 di serie
- cilindri apribili e pulibili di tipo V0 secondo UL94 ordinabili a parte
- elettrodi immersi in acciaio zincato ad elevata superficie di scambio
- conducimetro integrato per una gestione completamente automatica di carichi e scarichi in funzione del tipo d’acqua di alimentazione
- ingresso digitale ON/OFF per l’abilitazione remota
- relè cumulativo di allarme per la segnalazione remota di guasti e/o malfunzionamenti
- due ingressi analogici per segnale esterno di richiesta e sonde: gli ingressi sono impostabili da tastiera per segnale di tipo on/off (umidostato), 0…10 V, 2…10 V, 0…1 V, 0…20 mA, 4…20 mA, NTC e 0-135 Ohm
- porta seriale RS485 predisposta per la comunicazione con i sistemi CAREL o via Modbus® RTU
- controllo pHC (famiglia pCO) con display grafico per messaggistica ad icone di facile ed immediata comprensione
- controllore con algoritmo di regolazione della temperatura in base alla lettura di max 2 sonde di temperatura ed auto-adattantesi alla qualità dell’acqua
- le letture delle 2 sonde di temperatura possono essere mediate con 2 pesi diversi
- display grafico remotabile fino a 50 m senza alimentatore esterno (fino a 200 m con alimentatore esterno) per la visualizzazione della richiesta di produzione, misura della sonda ambientale, misura della sonda limite, produzione istantanea di vapore, allarmi, parametri di sistema
- tastiera per cambiare la visualizzazione a display, modificare i parametri di sistema, azzerare gli allarmi
- impostazione manuale e modulazione della massima portata di vapore dal 20% al 100% della portata nominale
- start/stop di 3 pompe esterne per essenze con tempistiche definibile dall’utente
- start/stop di una pompa esterna per il ciclo di sanificazione impostabile dall’utente
- gestione di 2 ventilatori (immissione ed estrazione)
- on/off della luce interna
- algoritmo antischiuma brevettato (AFS) per prevenire l’irregolarità di funzionamento dovuto alla formazione di schiuma all’interno del cilindro
- definizione di fasce orarie per l’on/off giornaliero e settimanale
- definizione di max. 4 set point in funzione dell’ora del giorno
- visualizzazione della conducibilità dell’acqua di alimentazione
- scelta della lingua
- scelta del sistema di unità di misura (SI o Imperiale)
- scelta della logica del relè d’allarme (NO o NC)
- storico allarmi (200 allarmi)
- disabilitazione anche da tastiera
- gestione della mancanza d’acqua di alimentazione con ripartenza automatica in caso di ritornata disponibilità
- auto-diagnosi iniziale automatica
- avvisi di manutenzione automatici e temporizzati (questi ultimi impostabili a seconda delle esigenze)
- svuotamento automatico del cilindro bollitore in caso di fermo prolungato (impostabile) per evitare la formazione di acqua stagnante
- svuotamento periodico del cilindro bollitore (impostabile) per rimuovere i fanghi che si formano con acqua ricche di sostanze in sospensione (per esempio, humus)
- start/stop di un de-umidificatore esterno in base a un set point di umidità impostabile
- attivazione manuale delle uscite digitali per manutenzione
- optional: comunicazione con BMS LON®, BACnet™ over Ethernet, BACnet™ over IP, BACnet™ over MS/TP, TCP/IP, SNMP, DHCP, HTTP, FTP
- optional: diagnostica remota via GSM
- optional: sonda di umidità/temperatura a muro per ambiente industriale min. IP54 (0 %rH … 100 %rH, -10T70 °C)
- optional: sonda di temperatura universale min. IP55 (-30T90 °C)
I modelli modulanti UE*Y* devono avere le seguenti caratteristiche (1.5, 3, 5, 8, 9, 10, 15, 18, 25, 35, 45, 65kg/h):
- conformità CE, CETLUS, TÜV PRODUCT SERVICE, PCT
- copertura in lamiera pressopiegata e pre-verniciata facilmente rimuovibile frontalmente per le operazioni d’assistenza e manutenzione
- vano elettrico separato da setto metallico e comprendente la circuiteria di potenza e i componenti di regolazione e controllo, cablato a regola d’arte secondo le vigenti normative di sicurezza
- cilindri di serie usa-e-getta in materiale plastico HB secondo UL94 oppure apribili e pulibili di tipo V0 secondo UL94
- acqua di carico: di rete, potabile (range minimo di conducibilità accettabile 75 – 1250 µS/cm)
- elettrodi immersi in acciaio zincato ad elevata superficie di scambio
- pompa di scarico
- vasca di raccolta sul fondo per prevenire allagamenti in casi di eventuali perdite d’acqua
- conducimetro integrato per una gestione completamente automatica di carichi e scarichi in funzione del tipo d’acqua di alimentazione
- ingresso digitale ON/OFF per l’abilitazione remota
- relè cumulativo di allarme per la segnalazione remota di guasti e/o malfunzionamenti
- un ingresso analogico per segnale esterno di richiesta: l’ingresso è impostabile da tastiera per segnale di tipo on/off (umidostato), 0…10 V, 2…10 V, 0…20 mA e 4…20 mA
- porta seriale RS485 predisposta per la comunicazione con i sistemi CAREL o via Modbus® RTU
- controllo con terminale ad icone di facile ed immediata comprensione e con algoritmi di regolazione auto-adattantesi alla qualità dell’acqua
- controllore con 2 algoritmi di regolazione attivabili in ogni momento: on/off e proporzionale da segnale esterno
- terminale remotabile fino a 20 m per la visualizzazione della richiesta di produzione, produzione istantanea di vapore, allarmi, parametri di sistema
- tastiera per cambiare la visualizzazione a display, modificare i parametri di sistema, azzerare gli allarmi
- impostazione manuale e modulazione della massima portata di vapore dal 20% al 100% della portata nominale
- algoritmo antischiuma brevettato (AFS) per prevenire l’irregolarità di funzionamento dovuto alla formazione di schiuma all’interno del cilindro
- visualizzazione della conducibilità dell’acqua di alimentazione
- scelta del sistema di unità di misura (SI o Imperiale)
- scelta della logica del relè d’allarme (NO o NC)
- storico allarmi (200 allarmi)
- gestione della mancanza d’acqua di alimentazione con ripartenza automatica in caso di ritornata disponibilità
- auto-diagnosi iniziale automatica
- avvisi di manutenzione automatici e temporizzati (questi ultimi impostabili a seconda delle esigenze)
- svuotamento automatico del cilindro bollitore in caso di fermo prolungato (impostabile) per evitare la formazione di acqua stagnante
- svuotamento periodico del cilindro bollitore (impostabile) per rimuovere i fanghi che si formano con acqua ricche di sostanze in sospensione (per esempio, humus)
Caratteristiche tecniche principali:
- Produzione nominale Max di vapore ………kg/h
- Potenza elettrica assorbita…………………..kW
- Tensione d’alimentazione…………………..VAC 1-fase / 3-fase
- Numero di uscite vapore…………………….
- Diametro uscita vapore……………….……..mm
- Pressione Max d’uscita vapore………….…..Pa
- Attacco acqua di alimentazione…………..…3/4” G MASCHIO
- Scarico acqua…………….……………..……40 mm
Accessori per installazione in condotta:
- Distributore lineare forato in acciaio inox AISI304 completo di staffa di fissaggio e raccordo di drenaggio condensa; lunghezza …….mm
- Ugello diffusore in materiale plastica
Accessori per installazione in ambiente:
- Distributore di vapore ventilato, costituito da carpenteria in lamiera verniciata contenente ventilatore e deflettore regolabile per una corretta ed uniforme distribuzione del vapore in ambiente.
</t>
  </si>
  <si>
    <t>gaSteam standard tender text
Gas-driven steam humidifier for ambient and AHU/duct using drinkable mains water or demineralised water (45, 90, 180 kg/h).
General specifications:
• compliances: CE, TÜV DVGW, CETLUS, AGA for ignition flame control board
• metallic housing with top, side and front panels removable to allow access for easy maintenance
• electric section with gas train separated by a divider wall and including the power circuitry and the control components, manufactured according to the state-of-the-art norms
• boiler made of AISI 304 L openable: the lid and the bottom front door shall be removable for easy maintenance
• the boiler shall have a thermal coating to reduce the heat loss
• high efficiency heat exchanger made of stainless steel AISI 316 L; shall be formed by 4 plates for 45 kg/h and 7 plates for 90/180 kg/h.
• straightforward configuration for different gases (methane G20 &amp; G25, propane (lpg) G31) by editing a small set of controller parameters
• negative pressure pre-mix burner with modulatine blower and high efficiency (92% to 95% according to the model)
• low NOX emissions: class 5 for models 45, 90 &amp; 180 kg/h
• NTC probe for reading the fumes temperature and block the humidifier in case of overheating
• manual-reset safety klixon to detect fumes overheating
• water level sensor for the precise control of the water level
• embedded conductimetre for the automatic management of the dilution drains and subsequent fills according to the supply water quality
• 2 analogue inputs for probes and external demand. The type of electrical signal for both shall be selectable via keyboard among: on/off (humidistat), 0…10 V, 2…10 V, 0…1 V, 0…20 mA, 4…20 mA, NTC, 0-135 Ohm
• boiler’s water temperature probe
• ON/OFF digital input for remote enabling
• cumulative alarm relay for the remote signalling of faults and/or malfunctions
• dedicated 0-10V output to replicate the steam production for an external device
• connection via RS485 (CAREL devices only) and Modbus® readily available
• pHC control (pCO family) with user-friendly graphic display (icons and messages readily understandable) and with algorithms that automatically adapt the operations to the water quality
• 6 algorithms always available to the user: on/off, production proportional to an external demand, built-in %rH regulator with ambient probe, built-in %rH regulator with ambient probe and modulating limiting probe, built-in temperature regulator with ambient probe, Proportional control with signal set by an external controller and limit humidity
• graphic display remotable up to 50 m without external power supply (200 m with external power supply) to show demand, ambient probe reading, limit probe reading, steam production, alarms, system parameters
• keyboard to change the displayed value, edit the system parameters, reset the alarms
• maximum production can be manually set from 25% to 100% of the rated production (from 12.5% for model 180 kg/h)
• patented antifoam algorithm (AFS) to prevent irregular operation due to the formation of foam inside the cylinder
• daily and weekly on/off timers
• up to 4 different daily automatic set points shall be editable
• display of the supply water conductivity
• selection of the language
• selection of the units of measure (SI or Imperial)
• the alarm relay logic shall be selectable (NO or NC)
• alarm history (200 alarms)
• the humidifier shall also be enabled/disabled from the keyboard
• automatic check of valves, pump, water level sensor, presence of supply water at the start-up
• automatic initial self-test
• automatic management of the lack of supply water with automatic restart when the water is available again
• pre-heating to keep the water warm in order to reduce the time to production (user-editable)
• automatic anti-freezing cycle to protect the boiler’s water
• the boiler(s) shall be automatically emptied in case of prolonged inactivity, with the inactivity time-out user-editable
• estimation of the lime scale build-up through the fumes temperature probe (NTC) and automatic maintenance warning
• start/stop of an external de-humidifier according to a user-editable %rH set point
• it shall be possible to force each digital output for servicing
• model 180 kg/h with 2 burners: selection between sequence and parallel duty of the burners
• model 180 kg/h with 2 burners: burner rotation user selectable based on the running time difference (the rotation can be disabled, set to occur at the
ignition or during the production)
• optional: communication via LON®, BACnet™ over Ethernet, BACnet™ over IP, BACnet™ over MS/TP, TCP/IP, SNMP, DHCP, HTTP, FTP
• optional: remote diagnostic via GSM
• optional: wall-mounting %rH probe for civil environment (10 %rH … 90 %rH)
• optional: %rH &amp; temperature industrial probe min. IP54 (0 %rH … 100 %rH, - 10T70 °C)
• optional: %rH probe for duct min. IP40 (10 %rH … 90 %rH)
• optional: %rH limit probe for duct min. IP40 (0 %rH … 100 %rH)
• optional: temperature probe min. IP55 (-30T90 °C)
Main technical specs:
Rated steam production …………….………kg/h
Heat power input ………………………………..kW
Gas G20/G25/G31
NOX class 5 (UG045, UG090) / 4 (UG180)
Power supply 230 VAC 1-fase, max 300 W
No. of steam outlets …………………….
Steam outlet diameter 40 mm
Steam pressure 2000 Pa
Supply water connection 3/4” G MALE
Drain connection …………….……………..……40 mm
Accessories for duct installations:
Steam lance made of AISI304 with fitting flange and condensate outlet; length…….mm</t>
  </si>
  <si>
    <t>gaSteam CAREL testo per capitolato
Umidificatore isotermico a vapore per ambiente e AHU/condotta alimentato a gas ed
acqua potabile di rete o demineralizzata (45, 90, 180 kg/h).
Caratteristiche generali:
• conformità CE, TÜV DVGW, CETLUS, AGA per la scheda di controllo fiamma
• copertura in lamiera di acciaio pressopiegata e verniciata a polvere facilmente rimuovibile sia frontalmente sia lateralmente sia superiormente per le operazioni d’assistenza e manutenzione
• vano elettrico e treno gas separato da setto metallico e comprendente la circuiteria di potenza e i componenti di regolazione e controllo, cablato a regola d’arte secondo le vigenti normative di sicurezza
• boiler per la produzione di vapore in acciaio inox AISI 304 L ispezionabile: coperchio e flangia frontale inferiore rimuovibili per la pulizia del calcare e la manutenzione
• il boiler deve avere un rivestimento termico esterno per limitare le dispersioni termiche
• scambiatore di calore ad alto rendimento in acciaio inox AISI 316 L; composto da 4 elementi affiancati per 45 kg/h e 7 elementi affiancati per 90/180 kg/h.
• adattabilità a vari tipi di gas (metano G20 e G25, propano (gpl) G31) per mezzo di una semplice modica di parametri del controllore
• bruciatore pre-mix a pressione negativa con soffiante modulante ed efficienza dal 92% al 95% a seconda del modello
• emissioni di NOX: classe 5 per i modelli 45, 90 e 180 kg/h
• sonda NTC per la misura della temperatura fumi e blocco in caso di sovratemperatura
• klixon di sicurezza a riarmo manuale in caso di sovratemperatura fumi
• sensore per il controllo preciso del livello dell’acqua
• conducimetro integrato per una gestione completamente automatica di carichi e scarichi in funzione del tipo d’acqua di alimentazione
• due ingressi analogici per segnale esterno di richiesta e sonde: gli ingressi sono impostabili da tastiera per segnale di tipo on/off (umidostato), 0…10 V, 2…10 V, 0…1 V, 0…20 mA, 4…20 mA, NTC, 0-135 Ohm
• sonda di temperatura acqua
• ingresso digitale ON/OFF per l’abilitazione remota
• relè cumulativo di allarme per la segnalazione remota di guasti e/o malfunzionamenti
• replica della produzione di vapore per mezzo di un’uscita 0-10 V dedicata per eventuali dispositivi esterni
• porta seriale RS485 predisposta per la comunicazione con i sistemi CAREL o via Modbus®
• controllo pHC (famiglia pCO) con display grafico per messaggistica ad icone di facile ed immediata comprensione e con algoritmi di regolazione auto-adattantesi alla qualità dell’acqua
• 6 algoritmi di regolazione attivabili in ogni momento: on/off, proporzionale da segnale esterno, regolatore integrato di umidità con sonda ambiente, regolatore integrato di umidità con sonda ambiente e sonda modulante limite, regolatore integrato di temperatura per bagni turchi, regolazione proporzionale con segnale impostato da un controllore esterno e limite in umidità
• display grafico remotabile fino a 50 m senza alimentatore esterno (fino a 200 m con alimentatore esterno) per la visualizzazione della richiesta di produzione, misura della sonda ambientale, misura della sonda limite, produzione istantanea di vapore, allarmi, parametri di sistema
• tastiera per cambiare la visualizzazione a display, modificare i parametri di sistema, azzerare gli allarmi
• impostazione manuale e modulazione della portata massima di vapore dal 25% al 100% della portata nominale (dal 12.5% per il modello da 180 kg/h)
• algoritmo antischiuma brevettato (AFS) per prevenire l’irregolarità di funzionamento dovuto alla formazione di schiuma all’interno del boiler
• definizione di fasce orarie per l’on/off giornaliero e settimanale
• definizione di max. 4 set point in funzione dell’ora del giorno
• visualizzazione della conducibilità dell’acqua di alimentazione
• scelta della lingua
• scelta del sistema di unità di misura (SI o Imperiale)
• scelta della logica del relè d’allarme (NO o NC)
• storico allarmi (200 allarmi con data e ora)
• disabilitazione anche da tastiera
• test automatico delle valvole, pompa e del sensore di livello dell’acqua all’avvio dell’umidificatore, compresa la verifica della presenza dell’acqua di alimentazione
• auto-diagnosi iniziale automatica
• avvisi di manutenzione automatici
• gestione della mancanza d’acqua di alimentazione con ripartenza automatica in caso di ritornata disponibilità
• pre-riscaldamento attivabile per mantenere l’acqua calda e ridurre i tempi di produzione del vapore
• funzionalità antigelo automatica per l’acqua nel boiler
• svuotamento automatico del cilindro bollitore in caso di fermo prolungato (impostabile) per evitare la formazione di acqua stagnante
• stima delle incrostazioni calcaree con avvisi automatici di manutenzione in base alla temperatura fumi (NTC)
• start/stop di un de-umidificatore esterno in base a un set point di umidità impostabile
• attivazione manuale delle uscite digitali per manutenzione
• modello da 180 kg/h con 2 bruciatori: selezione del funzionamento in serie o in parallelo dei due bruciatori
• modello da 180 kg/h con 2 bruciatori: abilitazione della rotazione dei bruciatori per uniformità d’usura (a differenza di tempo impostabile durante il funzionamento o
alla ripartenza)
• optional: comunicazione con BMS LON®, BACnet™ over Ethernet, BACnet™ over IP, BACnet™ over MS/TP, TCP/IP, SNMP, DHCP, HTTP, FTP
• optional: diagnostica remota via GSM
• optional: sonda di umidità a muro per ambiente civile (10 %rH … 90 %rH)
• optional: sonda di umidità/temperatura a muro per ambiente industriale min. IP54 (0 %rH … 100 %rH, -10T70 °C)
• optional: sonda di umidità per condotta min. IP40 (10 %rH … 90 %rH)
• sonda di umidità limite per condotta min. IP40 (0 %rH … 100 %rH)
• optional: sonda di temperatura universale min. IP55 (-30T90 °C)
Caratteristiche tecniche principali:
Produzione nominale Max di vapore ………kg/h
Portata termica ………………………………..kW
Gas G20/G25/G31
Classe NOX 5 (UG045, UG090) / 4 (UG180)
Tensione d’alimentazione 230 VAC 1-fase, max 300 W
Numero di uscite vapore…………………….
Diametro uscita vapore 40 mm
Pressione Max d’uscita vapore 2000 Pa
Attacco acqua di alimentazione 3/4” G MASCHIO
Scarico acqua…………….……………..……40 mm
Accessori per installazione in condotta:
Distributore lineare forato in acciaio inox AISI304 completo di staffa di fissaggio e
raccordo di drenaggio condensa; lunghezza …….mm</t>
  </si>
  <si>
    <t>Totale</t>
  </si>
  <si>
    <t>Total</t>
  </si>
  <si>
    <t>UR013</t>
  </si>
  <si>
    <t>UR053</t>
  </si>
  <si>
    <t>80 l/h</t>
  </si>
  <si>
    <t>100 l/h</t>
  </si>
  <si>
    <t>UR080</t>
  </si>
  <si>
    <t>UR002HD002</t>
  </si>
  <si>
    <t>UR004HD002</t>
  </si>
  <si>
    <t>UR006HD002</t>
  </si>
  <si>
    <t>UR010HL002</t>
  </si>
  <si>
    <t>UR020HL002</t>
  </si>
  <si>
    <t>UR027HL002</t>
  </si>
  <si>
    <t>UR040HL002</t>
  </si>
  <si>
    <t>UR060HL002</t>
  </si>
  <si>
    <t>UR013HL002</t>
  </si>
  <si>
    <t>UR053HL002</t>
  </si>
  <si>
    <t>UR080HL002</t>
  </si>
  <si>
    <t>UR080H</t>
  </si>
  <si>
    <t>4A</t>
  </si>
  <si>
    <t>UR013H</t>
  </si>
  <si>
    <t>UR053H</t>
  </si>
  <si>
    <t>053</t>
  </si>
  <si>
    <t>080</t>
  </si>
  <si>
    <t>UR002CD002</t>
  </si>
  <si>
    <t>UR002CD102</t>
  </si>
  <si>
    <t>UR002CU002</t>
  </si>
  <si>
    <t>UR002CU102</t>
  </si>
  <si>
    <t>UR002HU002</t>
  </si>
  <si>
    <t>UR002HU102</t>
  </si>
  <si>
    <t>UR004CD002</t>
  </si>
  <si>
    <t>UR004CD102</t>
  </si>
  <si>
    <t>UR004CU002</t>
  </si>
  <si>
    <t>UR004CU102</t>
  </si>
  <si>
    <t>UR004HU002</t>
  </si>
  <si>
    <t>UR004HU102</t>
  </si>
  <si>
    <t>UR006CD002</t>
  </si>
  <si>
    <t>UR006CD102</t>
  </si>
  <si>
    <t>UR006CK002</t>
  </si>
  <si>
    <t>UR006CK102</t>
  </si>
  <si>
    <t>UR006CL002</t>
  </si>
  <si>
    <t>UR006CL102</t>
  </si>
  <si>
    <t>UR006CM002</t>
  </si>
  <si>
    <t>UR006CM102</t>
  </si>
  <si>
    <t>UR006CN002</t>
  </si>
  <si>
    <t>UR006CN102</t>
  </si>
  <si>
    <t>UR006CU002</t>
  </si>
  <si>
    <t>UR006CU102</t>
  </si>
  <si>
    <t>UR006CW002</t>
  </si>
  <si>
    <t>UR006CW102</t>
  </si>
  <si>
    <t>UR006HN002</t>
  </si>
  <si>
    <t>UR006HN102</t>
  </si>
  <si>
    <t>UR006HU002</t>
  </si>
  <si>
    <t>UR006HU102</t>
  </si>
  <si>
    <t>UR006HW002</t>
  </si>
  <si>
    <t>UR006HW102</t>
  </si>
  <si>
    <t>UR010CK002</t>
  </si>
  <si>
    <t>UR010CK102</t>
  </si>
  <si>
    <t>UR010CL002</t>
  </si>
  <si>
    <t>UR010CL102</t>
  </si>
  <si>
    <t>UR010CM002</t>
  </si>
  <si>
    <t>UR010CM102</t>
  </si>
  <si>
    <t>UR010CN002</t>
  </si>
  <si>
    <t>UR010CN102</t>
  </si>
  <si>
    <t>UR010CW002</t>
  </si>
  <si>
    <t>UR010CW102</t>
  </si>
  <si>
    <t>UR010HN002</t>
  </si>
  <si>
    <t>UR010HN102</t>
  </si>
  <si>
    <t>UR010HW002</t>
  </si>
  <si>
    <t>UR010HW102</t>
  </si>
  <si>
    <t>UR020CK002</t>
  </si>
  <si>
    <t>UR020CK102</t>
  </si>
  <si>
    <t>UR020CL002</t>
  </si>
  <si>
    <t>UR020CL102</t>
  </si>
  <si>
    <t>UR020CM002</t>
  </si>
  <si>
    <t>UR020CM102</t>
  </si>
  <si>
    <t>UR020CN002</t>
  </si>
  <si>
    <t>UR020CN102</t>
  </si>
  <si>
    <t>UR020CW002</t>
  </si>
  <si>
    <t>UR020CW102</t>
  </si>
  <si>
    <t>UR020HN002</t>
  </si>
  <si>
    <t>UR020HN102</t>
  </si>
  <si>
    <t>UR020HW002</t>
  </si>
  <si>
    <t>UR020HW102</t>
  </si>
  <si>
    <t>UR027CK002</t>
  </si>
  <si>
    <t>UR027CK102</t>
  </si>
  <si>
    <t>UR027CL002</t>
  </si>
  <si>
    <t>UR027CL102</t>
  </si>
  <si>
    <t>UR027CM002</t>
  </si>
  <si>
    <t>UR027CM102</t>
  </si>
  <si>
    <t>UR027CN002</t>
  </si>
  <si>
    <t>UR027CN102</t>
  </si>
  <si>
    <t>UR027CW002</t>
  </si>
  <si>
    <t>UR027CW102</t>
  </si>
  <si>
    <t>UR027HN002</t>
  </si>
  <si>
    <t>UR027HN102</t>
  </si>
  <si>
    <t>UR027HW002</t>
  </si>
  <si>
    <t>UR027HW102</t>
  </si>
  <si>
    <t>UR040CK002</t>
  </si>
  <si>
    <t>UR040CK102</t>
  </si>
  <si>
    <t>UR040CL002</t>
  </si>
  <si>
    <t>UR040CL102</t>
  </si>
  <si>
    <t>UR040CM002</t>
  </si>
  <si>
    <t>UR040CM102</t>
  </si>
  <si>
    <t>UR040CN002</t>
  </si>
  <si>
    <t>UR040CN102</t>
  </si>
  <si>
    <t>UR040CW002</t>
  </si>
  <si>
    <t>UR040CW102</t>
  </si>
  <si>
    <t>UR040HK002</t>
  </si>
  <si>
    <t>UR040HK102</t>
  </si>
  <si>
    <t>UR040HN002</t>
  </si>
  <si>
    <t>UR040HN102</t>
  </si>
  <si>
    <t>UR040HW002</t>
  </si>
  <si>
    <t>UR040HW102</t>
  </si>
  <si>
    <t>UR060CK002</t>
  </si>
  <si>
    <t>UR060CK102</t>
  </si>
  <si>
    <t>UR060CL002</t>
  </si>
  <si>
    <t>UR060CL102</t>
  </si>
  <si>
    <t>UR060CM002</t>
  </si>
  <si>
    <t>UR060CM102</t>
  </si>
  <si>
    <t>UR060CN002</t>
  </si>
  <si>
    <t>UR060CN102</t>
  </si>
  <si>
    <t>UR060CW002</t>
  </si>
  <si>
    <t>UR060CW102</t>
  </si>
  <si>
    <t>UR060HK002</t>
  </si>
  <si>
    <t>UR060HK102</t>
  </si>
  <si>
    <t>UR060HN002</t>
  </si>
  <si>
    <t>UR060HN102</t>
  </si>
  <si>
    <t>UR060HW002</t>
  </si>
  <si>
    <t>UR060HW102</t>
  </si>
  <si>
    <t>UR013HW002</t>
  </si>
  <si>
    <t>UR013HW102</t>
  </si>
  <si>
    <t>UR013HN002</t>
  </si>
  <si>
    <t>UR013HN102</t>
  </si>
  <si>
    <t>UR053HN002</t>
  </si>
  <si>
    <t>UR053HN102</t>
  </si>
  <si>
    <t>UR080HN002</t>
  </si>
  <si>
    <t>UR080HN102</t>
  </si>
  <si>
    <t>heaterSteam 13 kg/h, 208V 3~, regolazione integrata, versione base</t>
  </si>
  <si>
    <t>heaterSteam 13 kg/h, 208V 3~, regolazione integrata, versione full optional</t>
  </si>
  <si>
    <t>heaterSteam 13 kg/h, 575V 3~, regolazione integrata, versione base</t>
  </si>
  <si>
    <t>heaterSteam 13 kg/h, 575V 3~, regolazione integrata, versione full optional</t>
  </si>
  <si>
    <t>heaterSteam 13 kg/h , 575Vac 3~, with regulation, basic version</t>
  </si>
  <si>
    <t>heaterSteam 13 kg/h , 575Vac 3~, with regulation, full optional version</t>
  </si>
  <si>
    <t>heaterSteam 13 kg/h , 208Vac 3~, with regulation, basic version</t>
  </si>
  <si>
    <t>heaterSteam 13 kg/h , 208Vac 3~, with regulation, full optional version</t>
  </si>
  <si>
    <t>heaterSteam 13 kg/h , 208Vac 3~, avec régulateur, version de base</t>
  </si>
  <si>
    <t>heaterSteam 13 kg/h , 208Vac 3~, avec régulateur, version toutes options</t>
  </si>
  <si>
    <t>heaterSteam 13 kg/h , 575Vac 3~, avec régulateur, version de base</t>
  </si>
  <si>
    <t>heaterSteam 13 kg/h , 575Vac 3~, avec régulateur, version toutes options</t>
  </si>
  <si>
    <t>heaterSteam 13 kg/h , 208Vac 3~, mit Feuchte-Regelung, Grundversion</t>
  </si>
  <si>
    <t>heaterSteam 13 kg/h , 208Vac 3~, mit Feuchte-Regelung, Vollversion</t>
  </si>
  <si>
    <t>heaterSteam 13 kg/h , 575Vac 3~, mit Feuchte-Regelung, Grundversion</t>
  </si>
  <si>
    <t>heaterSteam 13 kg/h , 575Vac 3~, mit Feuchte-Regelung, Vollversion</t>
  </si>
  <si>
    <t>heaterSteam 13 kg/h, 208V 3~, regulación integrada, versión básica</t>
  </si>
  <si>
    <t>heaterSteam 13 kg/h, 208V 3~, regulación integrada, versión con todas las opciones</t>
  </si>
  <si>
    <t>heaterSteam 13 kg/h, 575V 3~, regulación integrada, versión básica</t>
  </si>
  <si>
    <t>heaterSteam 13 kg/h, 575V 3~, regulación integrada, versión con todas las opciones</t>
  </si>
  <si>
    <t>heaterSteam 53 kg/h, 575V 3~, regolazione integrata, versione base</t>
  </si>
  <si>
    <t>heaterSteam 53 kg/h, 575V 3~, regolazione integrata, versione full optional</t>
  </si>
  <si>
    <t>heaterSteam 53 kg/h , 575Vac 3~, with regulation, basic version</t>
  </si>
  <si>
    <t>heaterSteam 53 kg/h , 575Vac 3~, with regulation, full optional version</t>
  </si>
  <si>
    <t>heaterSteam 53 kg/h , 575Vac 3~, avec régulateur, version de base</t>
  </si>
  <si>
    <t>heaterSteam 53 kg/h , 575Vac 3~, avec régulateur, version toutes options</t>
  </si>
  <si>
    <t>heaterSteam 53 kg/h , 575Vac 3~, mit Feuchte-Regelung, Grundversion</t>
  </si>
  <si>
    <t>heaterSteam 53 kg/h , 575Vac 3~, mit Feuchte-Regelung, Vollversion</t>
  </si>
  <si>
    <t>heaterSteam 53 kg/h, 575V 3~, regulación integrada, versión básica</t>
  </si>
  <si>
    <t>heaterSteam 53 kg/h, 575V 3~, regulación integrada, versión con todas las opciones</t>
  </si>
  <si>
    <t>heaterSteam 80 kg/h, 575V 3~, regolazione integrata, versione base</t>
  </si>
  <si>
    <t>heaterSteam 80 kg/h, 575V 3~, regolazione integrata, versione full optional</t>
  </si>
  <si>
    <t>heaterSteam 80 kg/h , 575Vac 3~, with regulation, basic version</t>
  </si>
  <si>
    <t>heaterSteam 80 kg/h , 575Vac 3~, with regulation, full optional version</t>
  </si>
  <si>
    <t>heaterSteam 80 kg/h , 575Vac 3~, avec régulateur, version de base</t>
  </si>
  <si>
    <t>heaterSteam 80 kg/h , 575Vac 3~, avec régulateur, version toutes options</t>
  </si>
  <si>
    <t>heaterSteam 80 kg/h , 575Vac 3~, mit Feuchte-Regelung, Grundversion</t>
  </si>
  <si>
    <t>heaterSteam 80 kg/h , 575Vac 3~, mit Feuchte-Regelung, Vollversion</t>
  </si>
  <si>
    <t>heaterSteam 80 kg/h, 575V 3~, regulación integrada, versión básica</t>
  </si>
  <si>
    <t>heaterSteam 80 kg/h, 575V 3~, regulación integrada, versión con todas las opciones</t>
  </si>
  <si>
    <t>FWH3415003</t>
  </si>
  <si>
    <t>FWH3430003</t>
  </si>
  <si>
    <t>FWHDCV0003</t>
  </si>
  <si>
    <t>WTS compact 25 KG/H with pump</t>
  </si>
  <si>
    <t>ROC0605000</t>
  </si>
  <si>
    <t>Reverse osmosis system, 60 l/h – 230V 50 Hz – for steel</t>
  </si>
  <si>
    <t>ROC0606000</t>
  </si>
  <si>
    <t>capacity of humidifier is less than the requested load</t>
  </si>
  <si>
    <t>valid from January 1st 2016</t>
  </si>
  <si>
    <t>2016 price list</t>
  </si>
  <si>
    <t>ROC025500N</t>
  </si>
  <si>
    <t>Price list 2016</t>
  </si>
  <si>
    <t>UR002HD003</t>
  </si>
  <si>
    <t>UR002HD103</t>
  </si>
  <si>
    <t>UR004HD003</t>
  </si>
  <si>
    <t>UR004HD103</t>
  </si>
  <si>
    <t>UR006HD003</t>
  </si>
  <si>
    <t>UR006HD103</t>
  </si>
  <si>
    <t>UR006HK003</t>
  </si>
  <si>
    <t>UR006HK103</t>
  </si>
  <si>
    <t>UR006HL003</t>
  </si>
  <si>
    <t>UR006HL103</t>
  </si>
  <si>
    <t>UR006HM003</t>
  </si>
  <si>
    <t>UR006HM103</t>
  </si>
  <si>
    <t>UR010HK003</t>
  </si>
  <si>
    <t>UR010HK103</t>
  </si>
  <si>
    <t>UR010HL003</t>
  </si>
  <si>
    <t>UR010HL103</t>
  </si>
  <si>
    <t>UR010HM003</t>
  </si>
  <si>
    <t>UR010HM103</t>
  </si>
  <si>
    <t>UR013HK003</t>
  </si>
  <si>
    <t>UR013HK103</t>
  </si>
  <si>
    <t>UR013HL003</t>
  </si>
  <si>
    <t>UR013HL103</t>
  </si>
  <si>
    <t>UR013HM003</t>
  </si>
  <si>
    <t>UR013HM103</t>
  </si>
  <si>
    <t>UR020HK003</t>
  </si>
  <si>
    <t>UR020HK103</t>
  </si>
  <si>
    <t>UR020HL003</t>
  </si>
  <si>
    <t>UR020HL103</t>
  </si>
  <si>
    <t>UR020HM003</t>
  </si>
  <si>
    <t>UR020HM103</t>
  </si>
  <si>
    <t>UR027HK003</t>
  </si>
  <si>
    <t>UR027HK103</t>
  </si>
  <si>
    <t>UR027HL003</t>
  </si>
  <si>
    <t>UR027HL103</t>
  </si>
  <si>
    <t>UR027HM003</t>
  </si>
  <si>
    <t>UR027HM103</t>
  </si>
  <si>
    <t>UR040HL003</t>
  </si>
  <si>
    <t>UR040HL103</t>
  </si>
  <si>
    <t>UR040HM003</t>
  </si>
  <si>
    <t>UR040HM103</t>
  </si>
  <si>
    <t>UR053HL003</t>
  </si>
  <si>
    <t>UR053HL103</t>
  </si>
  <si>
    <t>UR053HM003</t>
  </si>
  <si>
    <t>UR053HM103</t>
  </si>
  <si>
    <t>UR060HL003</t>
  </si>
  <si>
    <t>UR060HL103</t>
  </si>
  <si>
    <t>UR060HM003</t>
  </si>
  <si>
    <t>UR060HM103</t>
  </si>
  <si>
    <t>UR080HL003</t>
  </si>
  <si>
    <t>UR080HL103</t>
  </si>
  <si>
    <t>UR080HM003</t>
  </si>
  <si>
    <t>UR080HM103</t>
  </si>
  <si>
    <t>from 4.01 to 4.03</t>
  </si>
  <si>
    <t>sheet CODICI:</t>
  </si>
  <si>
    <t>B274-B435</t>
  </si>
  <si>
    <t>changed version of UR*. From UR*2 to UR*3</t>
  </si>
  <si>
    <t>sheet</t>
  </si>
  <si>
    <t>cells</t>
  </si>
  <si>
    <t>description</t>
  </si>
  <si>
    <t>heaterSteam Titanium</t>
  </si>
  <si>
    <t>heaterSteam humidifier 2 kg/h</t>
  </si>
  <si>
    <t>heaterSteam humidifier 4 kg/h</t>
  </si>
  <si>
    <t>heaterSteam humidifier 6 kg/h</t>
  </si>
  <si>
    <t>heaterSteam humidifier 10 kg/h</t>
  </si>
  <si>
    <t>heaterSteam humidifier 13 kg/h</t>
  </si>
  <si>
    <t>heaterSteam humidifier 20 kg/h</t>
  </si>
  <si>
    <t>heaterSteam humidifier 27 kg/h</t>
  </si>
  <si>
    <t>heaterSteam humidifier 40 kg/h</t>
  </si>
  <si>
    <t>heaterSteam humidifier 53 kg/h</t>
  </si>
  <si>
    <t>heaterSteam humidifier 60 kg/h</t>
  </si>
  <si>
    <t>heaterSteam humidifier 80 kg/h</t>
  </si>
  <si>
    <t>heaterSteam 2 kg/h, 230V 1~, regolazione integrata, versione Titanium</t>
  </si>
  <si>
    <t>heaterSteam 4 kg/h, 230V 1~, regolazione integrata, versione Titanium</t>
  </si>
  <si>
    <t>heaterSteam 6 kg/h, 230V 1~, regolazione integrata, versione Titanium</t>
  </si>
  <si>
    <t>heaterSteam 6 kg/h, 230V 3~, regolazione integrata, versione Titanium</t>
  </si>
  <si>
    <t>heaterSteam 6 kg/h, 400V 3~, regolazione integrata, versione Titanium</t>
  </si>
  <si>
    <t>heaterSteam 6 kg/h, 460V 3~, regolazione integrata, versione Titanium</t>
  </si>
  <si>
    <t>heaterSteam 10 kg/h, 230V 3~, regolazione integrata, versione Titanium</t>
  </si>
  <si>
    <t>heaterSteam 10 kg/h, 400V 3~, regolazione integrata, versione Titanium</t>
  </si>
  <si>
    <t>heaterSteam 10 kg/h, 460V 3~, regolazione integrata, versione Titanium</t>
  </si>
  <si>
    <t>heaterSteam 13 kg/h, 230V 3~, regolazione integrata, versione Titanium</t>
  </si>
  <si>
    <t>heaterSteam 13 kg/h, 400V 3~, regolazione integrata, versione Titanium</t>
  </si>
  <si>
    <t>heaterSteam 13 kg/h, 460V 3~, regolazione integrata, versione Titanium</t>
  </si>
  <si>
    <t>heaterSteam 20 kg/h, 230V 3~, regolazione integrata, versione Titanium</t>
  </si>
  <si>
    <t>heaterSteam 20 kg/h, 400V 3~, regolazione integrata, versione Titanium</t>
  </si>
  <si>
    <t>heaterSteam 20 kg/h, 460V 3~, regolazione integrata, versione Titanium</t>
  </si>
  <si>
    <t>heaterSteam 27 kg/h, 230V 3~, regolazione integrata, versione Titanium</t>
  </si>
  <si>
    <t>heaterSteam 27 kg/h, 400V 3~, regolazione integrata, versione Titanium</t>
  </si>
  <si>
    <t>heaterSteam 27 kg/h, 460V 3~, regolazione integrata, versione Titanium</t>
  </si>
  <si>
    <t>heaterSteam 40 kg/h, 400V 3~, regolazione integrata, versione Titanium</t>
  </si>
  <si>
    <t>heaterSteam 40 kg/h, 460V 3~, regolazione integrata, versione Titanium</t>
  </si>
  <si>
    <t>heaterSteam 53 kg/h, 400V 3~, regolazione integrata, versione Titanium</t>
  </si>
  <si>
    <t>heaterSteam 53 kg/h, 460V 3~, regolazione integrata, versione Titanium</t>
  </si>
  <si>
    <t>heaterSteam 60 kg/h, 400V 3~, regolazione integrata, versione Titanium</t>
  </si>
  <si>
    <t>heaterSteam 60 kg/h, 460V 3~, regolazione integrata, versione Titanium</t>
  </si>
  <si>
    <t>heaterSteam 80 kg/h, 400V 3~, regolazione integrata, versione Titanium</t>
  </si>
  <si>
    <t>heaterSteam 80 kg/h, 460V 3~, regolazione integrata, versione Titanium</t>
  </si>
  <si>
    <t>heaterSteam 2 kg/h , 230Vac 1~, with regulation, Titanium version</t>
  </si>
  <si>
    <t>heaterSteam 4 kg/h , 230Vac 1~, with regulation, Titanium version</t>
  </si>
  <si>
    <t>heaterSteam 6 kg/h , 230Vac 1~, with regulation, Titanium version</t>
  </si>
  <si>
    <t>heaterSteam 6 kg/h , 230Vac 3~, with regulation, Titanium version</t>
  </si>
  <si>
    <t>heaterSteam 6 kg/h , 400Vac 3~, with regulation, Titanium version</t>
  </si>
  <si>
    <t>heaterSteam 6 kg/h , 460Vac 3~, with regulation, Titanium version</t>
  </si>
  <si>
    <t>heaterSteam 10 kg/h , 230Vac 3~, with regulation, Titanium version</t>
  </si>
  <si>
    <t>heaterSteam 10 kg/h , 400Vac 3~, with regulation, Titanium version</t>
  </si>
  <si>
    <t>heaterSteam 10 kg/h , 460Vac 3~, with regulation, Titanium version</t>
  </si>
  <si>
    <t>heaterSteam 13 kg/h , 230Vac 3~, with regulation, Titanium version</t>
  </si>
  <si>
    <t>heaterSteam 13 kg/h , 400Vac 3~, with regulation, Titanium version</t>
  </si>
  <si>
    <t>heaterSteam 13 kg/h , 460Vac 3~, with regulation, Titanium version</t>
  </si>
  <si>
    <t>heaterSteam 20 kg/h , 230Vac 3~, with regulation, Titanium version</t>
  </si>
  <si>
    <t>heaterSteam 20 kg/h , 400Vac 3~, with regulation, Titanium version</t>
  </si>
  <si>
    <t>heaterSteam 20 kg/h , 460Vac 3~, with regulation, Titanium version</t>
  </si>
  <si>
    <t>heaterSteam 27 kg/h , 230Vac 3~, with regulation, Titanium version</t>
  </si>
  <si>
    <t>heaterSteam 27 kg/h , 400Vac 3~, with regulation, Titanium version</t>
  </si>
  <si>
    <t>heaterSteam 27 kg/h , 460Vac 3~, with regulation, Titanium version</t>
  </si>
  <si>
    <t>heaterSteam 40 kg/h , 400Vac 3~, with regulation, Titanium version</t>
  </si>
  <si>
    <t>heaterSteam 40 kg/h , 460Vac 3~, with regulation, Titanium version</t>
  </si>
  <si>
    <t>heaterSteam 53 kg/h , 400Vac 3~, with regulation, Titanium version</t>
  </si>
  <si>
    <t>heaterSteam 53 kg/h , 460Vac 3~, with regulation, Titanium version</t>
  </si>
  <si>
    <t>heaterSteam 60 kg/h , 400Vac 3~, with regulation, Titanium version</t>
  </si>
  <si>
    <t>heaterSteam 60 kg/h , 460Vac 3~, with regulation, Titanium version</t>
  </si>
  <si>
    <t>heaterSteam 80 kg/h , 400Vac 3~, with regulation, Titanium version</t>
  </si>
  <si>
    <t>heaterSteam 80 kg/h , 460Vac 3~, with regulation, Titanium version</t>
  </si>
  <si>
    <t>heaterSteam 2 kg/h , 230Vac 1~, avec régulateur, version Titanium</t>
  </si>
  <si>
    <t>heaterSteam 4 kg/h , 230Vac 1~, avec régulateur, version Titanium</t>
  </si>
  <si>
    <t>heaterSteam 6 kg/h , 230Vac 1~, avec régulateur, version Titanium</t>
  </si>
  <si>
    <t>heaterSteam 6 kg/h , 230Vac 3~, avec régulateur, version Titanium</t>
  </si>
  <si>
    <t>heaterSteam 6 kg/h , 400Vac 3~, avec régulateur, version Titanium</t>
  </si>
  <si>
    <t>heaterSteam 6 kg/h , 460Vac 3~, avec régulateur, version Titanium</t>
  </si>
  <si>
    <t>heaterSteam 10 kg/h , 230Vac 3~, avec régulateur, version Titanium</t>
  </si>
  <si>
    <t>heaterSteam 10 kg/h , 400Vac 3~, avec régulateur, version Titanium</t>
  </si>
  <si>
    <t>heaterSteam 10 kg/h , 460Vac 3~, avec régulateur, version Titanium</t>
  </si>
  <si>
    <t>heaterSteam 13 kg/h , 230Vac 3~, avec régulateur, version Titanium</t>
  </si>
  <si>
    <t>heaterSteam 13 kg/h , 400Vac 3~, avec régulateur, version Titanium</t>
  </si>
  <si>
    <t>heaterSteam 13 kg/h , 460Vac 3~, avec régulateur, version Titanium</t>
  </si>
  <si>
    <t>heaterSteam 20 kg/h , 230Vac 3~, avec régulateur, version Titanium</t>
  </si>
  <si>
    <t>heaterSteam 20 kg/h , 400Vac 3~, avec régulateur, version Titanium</t>
  </si>
  <si>
    <t>heaterSteam 20 kg/h , 460Vac 3~, avec régulateur, version Titanium</t>
  </si>
  <si>
    <t>heaterSteam 27 kg/h , 230Vac 3~, avec régulateur, version Titanium</t>
  </si>
  <si>
    <t>heaterSteam 27 kg/h , 400Vac 3~, avec régulateur, version Titanium</t>
  </si>
  <si>
    <t>heaterSteam 27 kg/h , 460Vac 3~, avec régulateur, version Titanium</t>
  </si>
  <si>
    <t>heaterSteam 40 kg/h , 400Vac 3~, avec régulateur, version Titanium</t>
  </si>
  <si>
    <t>heaterSteam 40 kg/h , 460Vac 3~, avec régulateur, version Titanium</t>
  </si>
  <si>
    <t>heaterSteam 53 kg/h , 400Vac 3~, avec régulateur, version Titanium</t>
  </si>
  <si>
    <t>heaterSteam 53 kg/h , 460Vac 3~, avec régulateur, version Titanium</t>
  </si>
  <si>
    <t>heaterSteam 60 kg/h , 400Vac 3~, avec régulateur, version Titanium</t>
  </si>
  <si>
    <t>heaterSteam 60 kg/h , 460Vac 3~, avec régulateur, version Titanium</t>
  </si>
  <si>
    <t>heaterSteam 80 kg/h , 400Vac 3~, avec régulateur, version Titanium</t>
  </si>
  <si>
    <t>heaterSteam 80 kg/h , 460Vac 3~, avec régulateur, version Titanium</t>
  </si>
  <si>
    <t>heaterSteam 2 kg/h , 230Vac 1~, mit Feuchte-Regelung, Titanium</t>
  </si>
  <si>
    <t>heaterSteam 4 kg/h , 230Vac 1~, mit Feuchte-Regelung, Titanium</t>
  </si>
  <si>
    <t>heaterSteam 6 kg/h , 230Vac 1~, mit Feuchte-Regelung, Titanium</t>
  </si>
  <si>
    <t>heaterSteam 6 kg/h , 230Vac 3~, mit Feuchte-Regelung, Titanium</t>
  </si>
  <si>
    <t>heaterSteam 6 kg/h , 400Vac 3~, mit Feuchte-Regelung, Titanium</t>
  </si>
  <si>
    <t>heaterSteam 6 kg/h , 460Vac 3~, mit Feuchte-Regelung, Titanium</t>
  </si>
  <si>
    <t>heaterSteam 10 kg/h , 230Vac 3~, mit Feuchte-Regelung, Titanium</t>
  </si>
  <si>
    <t>heaterSteam 10 kg/h , 400Vac 3~, mit Feuchte-Regelung, Titanium</t>
  </si>
  <si>
    <t>heaterSteam 10 kg/h , 460Vac 3~, mit Feuchte-Regelung, Titanium</t>
  </si>
  <si>
    <t>heaterSteam 13 kg/h , 230Vac 3~, mit Feuchte-Regelung, Titanium</t>
  </si>
  <si>
    <t>heaterSteam 13 kg/h , 400Vac 3~, mit Feuchte-Regelung, Titanium</t>
  </si>
  <si>
    <t>heaterSteam 13 kg/h , 460Vac 3~, mit Feuchte-Regelung, Titanium</t>
  </si>
  <si>
    <t>heaterSteam 20 kg/h , 230Vac 3~, mit Feuchte-Regelung, Titanium</t>
  </si>
  <si>
    <t>heaterSteam 20 kg/h , 400Vac 3~, mit Feuchte-Regelung, Titanium</t>
  </si>
  <si>
    <t>heaterSteam 20 kg/h , 460Vac 3~, mit Feuchte-Regelung, Titanium</t>
  </si>
  <si>
    <t>heaterSteam 27 kg/h , 230Vac 3~, mit Feuchte-Regelung, Titanium</t>
  </si>
  <si>
    <t>heaterSteam 27 kg/h , 400Vac 3~, mit Feuchte-Regelung, Titanium</t>
  </si>
  <si>
    <t>heaterSteam 27 kg/h , 460Vac 3~, mit Feuchte-Regelung, Titanium</t>
  </si>
  <si>
    <t>heaterSteam 40 kg/h , 400Vac 3~, mit Feuchte-Regelung, Titanium</t>
  </si>
  <si>
    <t>heaterSteam 40 kg/h , 460Vac 3~, mit Feuchte-Regelung, Titanium</t>
  </si>
  <si>
    <t>heaterSteam 53 kg/h , 400Vac 3~, mit Feuchte-Regelung, Titanium</t>
  </si>
  <si>
    <t>heaterSteam 53 kg/h , 460Vac 3~, mit Feuchte-Regelung, Titanium</t>
  </si>
  <si>
    <t>heaterSteam 60 kg/h , 400Vac 3~, mit Feuchte-Regelung, Titanium</t>
  </si>
  <si>
    <t>heaterSteam 60 kg/h , 460Vac 3~, mit Feuchte-Regelung, Titanium</t>
  </si>
  <si>
    <t>heaterSteam 80 kg/h , 400Vac 3~, mit Feuchte-Regelung, Titanium</t>
  </si>
  <si>
    <t>heaterSteam 80 kg/h , 460Vac 3~, mit Feuchte-Regelung, Titanium</t>
  </si>
  <si>
    <t>heaterSteam 2 kg/h, 230V 1~, regulación integrada, versión Titanium</t>
  </si>
  <si>
    <t>heaterSteam 4 kg/h, 230V 1~, regulación integrada, versión Titanium</t>
  </si>
  <si>
    <t>heaterSteam 6 kg/h, 230V 1~, regulación integrada, versión Titanium</t>
  </si>
  <si>
    <t>heaterSteam 6 kg/h, 230V 3~, regulación integrada, versión Titanium</t>
  </si>
  <si>
    <t>heaterSteam 6 kg/h, 400V 3~, regulación integrada, versión Titanium</t>
  </si>
  <si>
    <t>heaterSteam 6 kg/h, 460V 3~, regulación integrada, versión Titanium</t>
  </si>
  <si>
    <t>heaterSteam 10 kg/h, 230V 3~, regulación integrada, versión Titanium</t>
  </si>
  <si>
    <t>heaterSteam 10 kg/h, 400V 3~, regulación integrada, versión Titanium</t>
  </si>
  <si>
    <t>heaterSteam 10 kg/h, 460V 3~, regulación integrada, versión Titanium</t>
  </si>
  <si>
    <t>heaterSteam 13 kg/h, 230V 3~, regulación integrada, versión Titanium</t>
  </si>
  <si>
    <t>heaterSteam 13 kg/h, 400V 3~, regulación integrada, versión Titanium</t>
  </si>
  <si>
    <t>heaterSteam 13 kg/h, 460V 3~, regulación integrada, versión Titanium</t>
  </si>
  <si>
    <t>heaterSteam 20 kg/h, 230V 3~, regulación integrada, versión Titanium</t>
  </si>
  <si>
    <t>heaterSteam 20 kg/h, 400V 3~, regulación integrada, versión Titanium</t>
  </si>
  <si>
    <t>heaterSteam 20 kg/h, 460V 3~, regulación integrada, versión Titanium</t>
  </si>
  <si>
    <t>heaterSteam 27 kg/h, 230V 3~, regulación integrada, versión Titanium</t>
  </si>
  <si>
    <t>heaterSteam 27 kg/h, 400V 3~, regulación integrada, versión Titanium</t>
  </si>
  <si>
    <t>heaterSteam 27 kg/h, 460V 3~, regulación integrada, versión Titanium</t>
  </si>
  <si>
    <t>heaterSteam 40 kg/h, 400V 3~, regulación integrada, versión Titanium</t>
  </si>
  <si>
    <t>heaterSteam 40 kg/h, 460V 3~, regulación integrada, versión Titanium</t>
  </si>
  <si>
    <t>heaterSteam 53 kg/h, 400V 3~, regulación integrada, versión Titanium</t>
  </si>
  <si>
    <t>heaterSteam 53 kg/h, 460V 3~, regulación integrada, versión Titanium</t>
  </si>
  <si>
    <t>heaterSteam 60 kg/h, 400V 3~, regulación integrada, versión Titanium</t>
  </si>
  <si>
    <t>heaterSteam 60 kg/h, 460V 3~, regulación integrada, versión Titanium</t>
  </si>
  <si>
    <t>heaterSteam 80 kg/h, 400V 3~, regulación integrada, versión Titanium</t>
  </si>
  <si>
    <t>heaterSteam 80 kg/h, 460V 3~, regulación integrada, versión Titanium</t>
  </si>
  <si>
    <t>UR006HM002</t>
  </si>
  <si>
    <t>UR006HM102</t>
  </si>
  <si>
    <t>heaterSteam process, 2 kg/h, 230V 1~,  regolazione integrata</t>
  </si>
  <si>
    <t>heaterSteam process, 2 kg/h , 230Vac 1~, with regulation</t>
  </si>
  <si>
    <t>heaterSteam process, 2 kg/h , 230Vac 1~, avec régulateur</t>
  </si>
  <si>
    <t>heaterSteam process, 2 kg/h , 230Vac 1~, mit Feuchte-Regelung</t>
  </si>
  <si>
    <t>heaterSteam process, 2 kg/h, 230V 1~, regulación integrada</t>
  </si>
  <si>
    <t>heaterSteam process, 4 kg/h, 230V 1~, regolazione integrata</t>
  </si>
  <si>
    <t>heaterSteam process, 4 kg/h , 230Vac 1~, with regulation</t>
  </si>
  <si>
    <t>heaterSteam process, 4 kg/h , 230Vac 1~, avec régulateur</t>
  </si>
  <si>
    <t>heaterSteam process, 4 kg/h , 230Vac 1~, mit Feuchte-Regelung</t>
  </si>
  <si>
    <t>heaterSteam process, 4 kg/h, 230V 1~, regulación integrada</t>
  </si>
  <si>
    <t>heaterSteam process, 6 kg/h, 230V 1~, regolazione integrata</t>
  </si>
  <si>
    <t>heaterSteam process, 6 kg/h , 230Vac 1~, with regulationn</t>
  </si>
  <si>
    <t>heaterSteam process, 6 kg/h , 230Vac 1~, avec régulateur</t>
  </si>
  <si>
    <t>heaterSteam process, 6 kg/h , 230Vac 1~, mit Feuchte-Regelung</t>
  </si>
  <si>
    <t>heaterSteam process, 6 kg/h, 230V 1~, regulación integrada</t>
  </si>
  <si>
    <t>heaterSteam process, 6 kg/h, 230V 3~, regolazione integrata</t>
  </si>
  <si>
    <t>heaterSteam process, 6 kg/h , 230Vac 3~, with regulation</t>
  </si>
  <si>
    <t>heaterSteam process, 6 kg/h , 230Vac 3~, avec régulateur</t>
  </si>
  <si>
    <t>heaterSteam process, 6 kg/h , 230Vac 3~, mit Feuchte-Regelung</t>
  </si>
  <si>
    <t>heaterSteam process, 6 kg/h, 230V 3~, regulación integrada</t>
  </si>
  <si>
    <t>heaterSteam process, 6 kg/h, 400V 3~, regolazione integrata</t>
  </si>
  <si>
    <t>heaterSteam process, 6 kg/h , 400Vac 3~, with regulation</t>
  </si>
  <si>
    <t>heaterSteam process, 6 kg/h , 400Vac 3~, avec régulateur</t>
  </si>
  <si>
    <t>heaterSteam process, 6 kg/h , 400Vac 3~, mit Feuchte-Regelung</t>
  </si>
  <si>
    <t>heaterSteam process, 6 kg/h, 400V 3~, regulación integrada</t>
  </si>
  <si>
    <t>heaterSteam process, 6 kg/h, 460V 3~, regolazione integrata</t>
  </si>
  <si>
    <t>heaterSteam process, 6 kg/h , 460Vac 3~, with regulation</t>
  </si>
  <si>
    <t>heaterSteam process, 6 kg/h , 460Vac 3~, avec régulateur</t>
  </si>
  <si>
    <t>heaterSteam process, 6 kg/h , 460Vac 3~, mit Feuchte-Regelung</t>
  </si>
  <si>
    <t>heaterSteam process, 6 kg/h, 460V 3~, regulación integrada</t>
  </si>
  <si>
    <t>heaterSteam process, 10 kg/h, 230V 3~, regolazione integrata</t>
  </si>
  <si>
    <t>heaterSteam process, 10 kg/h , 230Vac 3~, with regulation</t>
  </si>
  <si>
    <t>heaterSteam process, 10 kg/h , 230Vac 3~, avec régulateur</t>
  </si>
  <si>
    <t>heaterSteam process, 10 kg/h , 230Vac 3~, mit Feuchte-Regelung</t>
  </si>
  <si>
    <t>heaterSteam process, 10 kg/h, 230V 3~, regulación integrada</t>
  </si>
  <si>
    <t>heaterSteam process, 10 kg/h, 400V 3~, regolazione integrata</t>
  </si>
  <si>
    <t>heaterSteam process, 10 kg/h , 400Vac 3~, with regulation</t>
  </si>
  <si>
    <t>heaterSteam process, 10 kg/h , 400Vac 3~, avec régulateur</t>
  </si>
  <si>
    <t>heaterSteam process, 10 kg/h , 400Vac 3~, mit Feuchte-Regelung</t>
  </si>
  <si>
    <t>heaterSteam process, 10 kg/h, 400V 3~, regulación integrada</t>
  </si>
  <si>
    <t>heaterSteam process, 10 kg/h, 460V 3~, regolazione integrata</t>
  </si>
  <si>
    <t>heaterSteam process, 10 kg/h , 460Vac 3~, with regulation</t>
  </si>
  <si>
    <t>heaterSteam process, 10 kg/h , 460Vac 3~, avec régulateur</t>
  </si>
  <si>
    <t>heaterSteam process, 10 kg/h , 460Vac 3~, mit Feuchte-Regelung</t>
  </si>
  <si>
    <t>heaterSteam process, 10 kg/h, 460V 3~, regulación integrada</t>
  </si>
  <si>
    <t>heaterSteam process, 13 kg/h, 230V 3~, regolazione integrata</t>
  </si>
  <si>
    <t>heaterSteam process, 13 kg/h , 230Vac 3~, with regulation</t>
  </si>
  <si>
    <t>heaterSteam process, 13 kg/h , 230Vac 3~, avec régulateur</t>
  </si>
  <si>
    <t>heaterSteam process, 13 kg/h , 230Vac 3~, mit Feuchte-Regelung</t>
  </si>
  <si>
    <t>heaterSteam process, 13 kg/h, 230V 3~, regulación integrada</t>
  </si>
  <si>
    <t>heaterSteam process, 13 kg/h, 400V 3~, regolazione integrata</t>
  </si>
  <si>
    <t>heaterSteam process, 13 kg/h , 400Vac 3~, with regulation</t>
  </si>
  <si>
    <t>heaterSteam process, 13 kg/h , 400Vac 3~, avec régulateur</t>
  </si>
  <si>
    <t>heaterSteam process, 13 kg/h , 400Vac 3~, mit Feuchte-Regelung</t>
  </si>
  <si>
    <t>heaterSteam process, 13 kg/h, 400V 3~, regulación integrada</t>
  </si>
  <si>
    <t>heaterSteam process, 13 kg/h, 460V 3~, regolazione integrata</t>
  </si>
  <si>
    <t>heaterSteam process, 13 kg/h , 460Vac 3~, with regulation</t>
  </si>
  <si>
    <t>heaterSteam process, 13 kg/h , 460Vac 3~, avec régulateur</t>
  </si>
  <si>
    <t>heaterSteam process, 13 kg/h , 460Vac 3~, mit Feuchte-Regelung</t>
  </si>
  <si>
    <t>heaterSteam process, 13 kg/h, 460V 3~, regulación integrada</t>
  </si>
  <si>
    <t>heaterSteam process, 20 kg/h, 230V 3~, regolazione integrata</t>
  </si>
  <si>
    <t>heaterSteam process, 20 kg/h , 230Vac 3~, with regulation</t>
  </si>
  <si>
    <t>heaterSteam process, 20 kg/h , 230Vac 3~, avec régulateur</t>
  </si>
  <si>
    <t>heaterSteam process, 20 kg/h , 230Vac 3~, mit Feuchte-Regelung</t>
  </si>
  <si>
    <t>heaterSteam process, 20 kg/h, 230V 3~, regulación integrada</t>
  </si>
  <si>
    <t>heaterSteam process, 20 kg/h, 400V 3~, regolazione integrata</t>
  </si>
  <si>
    <t>heaterSteam process, 20 kg/h , 400Vac 3~, with regulation</t>
  </si>
  <si>
    <t>heaterSteam process, 20 kg/h , 400Vac 3~, avec régulateur</t>
  </si>
  <si>
    <t>heaterSteam process, 20 kg/h , 400Vac 3~, mit Feuchte-Regelung</t>
  </si>
  <si>
    <t>heaterSteam process, 20 kg/h, 400V 3~, regulación integrada</t>
  </si>
  <si>
    <t>heaterSteam process, 20 kg/h, 460V 3~, regolazione integrata</t>
  </si>
  <si>
    <t>heaterSteam process, 20 kg/h , 460Vac 3~, with regulation</t>
  </si>
  <si>
    <t>heaterSteam process, 20 kg/h , 460Vac 3~, avec régulateur</t>
  </si>
  <si>
    <t>heaterSteam process, 20 kg/h , 460Vac 3~, mit Feuchte-Regelung</t>
  </si>
  <si>
    <t>heaterSteam process, 20 kg/h, 460V 3~, regulación integrada</t>
  </si>
  <si>
    <t>heaterSteam process, 27 kg/h, 230V 3~, regolazione integrata</t>
  </si>
  <si>
    <t>heaterSteam process, 27 kg/h , 230Vac 3~, with regulation</t>
  </si>
  <si>
    <t>heaterSteam process, 27 kg/h , 230Vac 3~, avec régulateur</t>
  </si>
  <si>
    <t>heaterSteam process, 27 kg/h , 230Vac 3~, mit Feuchte-Regelung</t>
  </si>
  <si>
    <t>heaterSteam process, 27 kg/h, 230V 3~, regulación integrada</t>
  </si>
  <si>
    <t>heaterSteam process, 27 kg/h, 400V 3~, regolazione integrata</t>
  </si>
  <si>
    <t>heaterSteam process, 27 kg/h , 400Vac 3~, with regulation</t>
  </si>
  <si>
    <t>heaterSteam process, 27 kg/h , 400Vac 3~, avec régulateur</t>
  </si>
  <si>
    <t>heaterSteam process, 27 kg/h , 400Vac 3~, mit Feuchte-Regelung</t>
  </si>
  <si>
    <t>heaterSteam process, 27 kg/h, 400V 3~, regulación integrada</t>
  </si>
  <si>
    <t>heaterSteam process, 27 kg/h, 460V 3~, regolazione integrata</t>
  </si>
  <si>
    <t>heaterSteam process, 27 kg/h , 460Vac 3~, with regulation</t>
  </si>
  <si>
    <t>heaterSteam process, 27 kg/h , 460Vac 3~, avec régulateur</t>
  </si>
  <si>
    <t>heaterSteam process, 27 kg/h , 460Vac 3~, mit Feuchte-Regelung</t>
  </si>
  <si>
    <t>heaterSteam process, 27 kg/h, 460V 3~, regulación integrada</t>
  </si>
  <si>
    <t>heaterSteam process, 40 kg/h, 400V 3~, regolazione integrata</t>
  </si>
  <si>
    <t>heaterSteam process, 40 kg/h , 400Vac 3~, with regulation</t>
  </si>
  <si>
    <t>heaterSteam process, 40 kg/h , 400Vac 3~, avec régulateur</t>
  </si>
  <si>
    <t>heaterSteam process, 40 kg/h , 400Vac 3~, mit Feuchte-Regelung</t>
  </si>
  <si>
    <t>heaterSteam process, 40 kg/h, 400V 3~, regulación integrada</t>
  </si>
  <si>
    <t>heaterSteam process, 40 kg/h, 460V 3~, regolazione integrata</t>
  </si>
  <si>
    <t>heaterSteam process, 40 kg/h , 460Vac 3~, with regulation</t>
  </si>
  <si>
    <t>heaterSteam process, 40 kg/h , 460Vac 3~, avec régulateur</t>
  </si>
  <si>
    <t>heaterSteam process, 40 kg/h , 460Vac 3~, mit Feuchte-Regelung</t>
  </si>
  <si>
    <t>heaterSteam process, 40 kg/h, 460V 3~, regulación integrada</t>
  </si>
  <si>
    <t>heaterSteam process, 53 kg/h, 400V 3~, regolazione integrata</t>
  </si>
  <si>
    <t>heaterSteam process, 53 kg/h , 400Vac 3~, with regulation</t>
  </si>
  <si>
    <t>heaterSteam process, 53 kg/h , 400Vac 3~, avec régulateur</t>
  </si>
  <si>
    <t>heaterSteam process, 53 kg/h , 400Vac 3~, mit Feuchte-Regelung</t>
  </si>
  <si>
    <t>heaterSteam process, 53 kg/h, 400V 3~, regulación integrada</t>
  </si>
  <si>
    <t>heaterSteam process, 53 kg/h, 460V 3~, regolazione integrata</t>
  </si>
  <si>
    <t>heaterSteam process, 53 kg/h , 460Vac 3~, with regulation</t>
  </si>
  <si>
    <t>heaterSteam process, 53 kg/h , 460Vac 3~, avec régulateur</t>
  </si>
  <si>
    <t>heaterSteam process, 53 kg/h , 460Vac 3~, mit Feuchte-Regelung</t>
  </si>
  <si>
    <t>heaterSteam process, 53 kg/h, 460V 3~, regulación integrada</t>
  </si>
  <si>
    <t>heaterSteam process, 60 kg/h, 400V 3~, regolazione integrata</t>
  </si>
  <si>
    <t>heaterSteam process, 60 kg/h , 400Vac 3~, with regulation</t>
  </si>
  <si>
    <t>heaterSteam process, 60 kg/h , 400Vac 3~, avec régulateur</t>
  </si>
  <si>
    <t>heaterSteam process, 60 kg/h , 400Vac 3~, mit Feuchte-Regelung</t>
  </si>
  <si>
    <t>heaterSteam process, 60 kg/h, 400V 3~, regulación integrada</t>
  </si>
  <si>
    <t>heaterSteam process, 60 kg/h, 460V 3~, regolazione integrata</t>
  </si>
  <si>
    <t>heaterSteam process, 60 kg/h , 460Vac 3~, with regulation</t>
  </si>
  <si>
    <t>heaterSteam process, 60 kg/h , 460Vac 3~, avec régulateur</t>
  </si>
  <si>
    <t>heaterSteam process, 60 kg/h , 460Vac 3~, mit Feuchte-Regelung</t>
  </si>
  <si>
    <t>heaterSteam process, 60 kg/h, 460V 3~, regulación integrada</t>
  </si>
  <si>
    <t>heaterSteam process, 80 kg/h, 400V 3~, regolazione integrata</t>
  </si>
  <si>
    <t>heaterSteam process, 80 kg/h , 400Vac 3~, with regulation</t>
  </si>
  <si>
    <t>heaterSteam process, 80 kg/h , 400Vac 3~, avec régulateur</t>
  </si>
  <si>
    <t>heaterSteam process, 80 kg/h , 400Vac 3~, mit Feuchte-Regelung</t>
  </si>
  <si>
    <t>heaterSteam process, 80 kg/h, 400V 3~, regulación integrada</t>
  </si>
  <si>
    <t>heaterSteam process, 80 kg/h, 460V 3~, regolazione integrata</t>
  </si>
  <si>
    <t>heaterSteam process, 80 kg/h , 460Vac 3~, with regulation</t>
  </si>
  <si>
    <t>heaterSteam process, 80 kg/h , 460Vac 3~, avec régulateur</t>
  </si>
  <si>
    <t>heaterSteam process, 80 kg/h , 460Vac 3~, mit Feuchte-Regelung</t>
  </si>
  <si>
    <t>heaterSteam process, 80 kg/h, 460V 3~, regulación integrada</t>
  </si>
  <si>
    <t>INSTRUCTIONS: insert input data in grey cells. Results appear in green cells.</t>
  </si>
  <si>
    <t>heaterSteam process</t>
  </si>
  <si>
    <t>Nombre de humidificateurs</t>
  </si>
  <si>
    <t>Anzahl der Luftbefeuchter</t>
  </si>
  <si>
    <t>Nº de humidificadores</t>
  </si>
  <si>
    <t>Number of humidifiers</t>
  </si>
  <si>
    <t>N° di umidificatori</t>
  </si>
  <si>
    <t>If needed change the prices in the grey cells</t>
  </si>
  <si>
    <t>Eur</t>
  </si>
  <si>
    <t>GBP</t>
  </si>
  <si>
    <t>CNY</t>
  </si>
  <si>
    <t>Eur/</t>
  </si>
  <si>
    <t>If needed change the language in the grey cells            DO NOT MODIFY IN ANY WAY THE FIRST THREE COLUMNS A, B AND C</t>
  </si>
  <si>
    <t>Valuta</t>
  </si>
  <si>
    <t>Currency</t>
  </si>
  <si>
    <t>Monnaie</t>
  </si>
  <si>
    <t>Moneda</t>
  </si>
  <si>
    <t>Währung</t>
  </si>
  <si>
    <t>Tasso di cambio</t>
  </si>
  <si>
    <t>Taux de change</t>
  </si>
  <si>
    <t>Cambio</t>
  </si>
  <si>
    <t>Wechselkurs</t>
  </si>
  <si>
    <t>Exchange rate</t>
  </si>
  <si>
    <t>Price (selected currency)</t>
  </si>
  <si>
    <t>400V, 3phase</t>
  </si>
  <si>
    <t xml:space="preserve">heaterSteam suggested standard Tender Text (UR*3 titanium)
heaterSteam UR*3 titanium
Immersed-resistances steam humidifier for ambient and AHU/duct using drinkable mains water, demineralised water or deionised water. Humidifier heats and boils the water in a stainless steel cylinder. The steam generated is hygienically pure (aseptic). 
Main technical specs:
Rated steam production …………….………kg/h
Rated power input …………………………..kW
Power supply …………..…………………..VAC 1-phase / 3-phase
No. of steam outlets …….…………………….
Steam outlet diameter ……………….……..mm
Steam pressure……………….………….…..Pa
Supply water connection…………..…3/4” G MALE
Drain connection…………….……………..……40 mm
Accessories for duct installations:
Steam lance made of AISI304 with fitting flange and condensate outlet; length …….mm
Steam nozzle distributor
Accessories for ambient installations:
Steam distributor with embedded blower, powder-painted metallic enclosure and air flow deflector for an even distribution of the steam into the ambient.
Humidifiers shall have the following characteristics (2, 4, 6, 10, 13, 20, 27, 40, 53, 60, 80 kg/h):
• Electric resistances made in titanium with low thermal resistance for fast response, stability of production and safety against overheating;
• Water level sensor for the precise control of the water level on the entire conductivity range 0…1500µS/cm, without any change or additional board;
• Each element shall have 1 patented PTC to detect and protect against overheating (patented); 
• User-editable configuration of the controller for the high-accuracy control of the humidity (± 1%rH);
• Steam capacity shall be continuously controlled in the range 0..100% of the rated production;
• Humidifier shall be suitable for any type of water: tap, demineralised, deionised and softener (≤1µS/cm heaterSteam titanium is needed);
• Over-temperature protection on boiler cap (klixon, UR020-UR080);
• Models 2-13 kg/h: the boiler shall be made of AISI304 stainless steel, openable for maintenance; models 20-80 kg/h: the boiler shall be made of AISI304 stainless steel, with the lid and a bottom front inspection panel removable for easy servicing;
• Embedded conductimeter for the automatic management of the dilution drains and subsequent fills according to the supply water quality;
• SSR’s (solid-state relays) for precise modulation of the steam production by dosing the power fed to the water;
• Patented antifoam algorithm (AFS) to prevent irregular operation due to the formation of foam inside the cylinder;
• The steam generator shall also have twin sensing electrodes for detection of water foaming and high limit water level;
• Boiler thermal coating to reduce the heat loss;
• Thermal shock feature, removing lime scale from the heating elements, extends the cleaning intervals and makes maintenance quicker;
• Kevlar limescale bag inside the boiler for easy and quick maintenance (up to 13kg/h); doesn’t need any additional gaskets;
• Boiler’s water temperature probe (NTC);
• Pre-heating to keep the water warm in order to reduce the time to production (user-editable pre-heating set point);
• The humidifier shall limit the steam production based on a proportional hi-limit probe that is self-adjusting according to AHU/duct air flow;
• Humidifier shall have built-in power transformer, no needs of neutral line on power supply or additional external transformer;
• Metallic housing with cover removable to allow full front access for easy maintenance;
• Electrical section separated by a division wall and including the power circuitry and the control components, manufactured according to state-of-the-art norms;
• The built-in USB port can be used for easy software updates, log file and alarm history extraction. Copy and paste parameters between units;
• ON/OFF digital input for remote enabling;
• Intelligent microprocessor controller with algorithm that automatically adapts operation to the water quality;
• 4 built-in relays for remote signalling of: alarm relay, unit status relay (steam production), unit on/off, fan blower relay;
• The type of electric signal shall be selectable via keyboard among: on/off (humidistat), 0…10 V, 2…10 V, 0…1 V, 0…20 mA, 4…20 mA and NTC (in case of temperature regulation); 
• RS485 serial port ready to communicate on Modbus, Bacnet or CAREL protocol for supervisory system. Without any additional devices;
• Ethernet port ready to communicate on Modbus or Bacnet protocol for supervisory system.  Without any additional devices;
• Strat-up wizard for simple step-by-step machine configuration during first commissioning;
• Type of controller: control with 9 algorithms always available to the user: on/off, production proportional to an external demand,  production proportional to an external demand with modulating limiting probe, built-in %rH regulator with ambient probe, built-in %rH regulator with ambient probe and modulating limiting probe, built-in %rH regulator with two ambient probes (average), built-in temperature (°C/°F) regulator with ambient probe, built-in temperature (°C/°F) regulator with two ambient probes (average), built-in temperature (°C/°F) regulator with ambient and modulating limiting probe;
• Master-slave capability to extend the capacity with automatic rotation of units;
• Integrated backup of the unit for applications that require continuous service and non-stop humidification; 
• Maintenance backup to automatic start the second unit during the sevices; 
• Management of wireless probes (up to 4 ) to avoid cables into the building. User-editable of probes weight;
• Plug&amp;play web server for monitoring and setting of unit from remote position;
• Keyboard to change the displayed value, edit the system parameters, reset the alarms;
• Display of the supply water conductivity;
• Selection of the units of measure (SI or Imperial);
• Automatic check of valve, pump, water level sensor, presence of supply water at the start-up;
• Automatic management of the lack of supply water with automatic restart when the water is available again;
• Automatic maintenance warning;
• Drain pump for full range of capacity (2…80 kg/h) that helps to remove debris;
• The boiler shall be automatically emptied in case of prolonged inactivity, with the inactivity time-out being user-editable;
• Compliances: CE, ETL, TÜV PRODUCT SERVICE, EAC;
• [optional] wall-mounting %rH probe for civil environment (10 %rH … 90 %rH)
• [optional] %rH &amp; temperature industrial probe min. IP54 (0 %rH … 100 %rH, -10T70 °C)
• [optional] %rH probe for duct min. IP40 (10 %rH … 90 %rH)
• [optional] %rH limit probe for duct min. IP40 (0 %rH … 100 %rH)
</t>
  </si>
  <si>
    <t xml:space="preserve">heaterSteam Testi per Capitolati (UR*3 titanium)
heaterSteam UR*3 titanium
Umidificatore a resistenze immerse per ambiente e UTA/condotta che utilizza acqua potabile di rete,  acqua demineralizzata o acqua deionizzata. L’umidificatore riscalda e fa bollire l’acqua all’interno di un cilindro in acciaio inox. Il vapore generato è igienicamente puro (asettico). 
Specifiche tecniche: 
Produzione nominale di vapore …………….………kg/h
Potenza di ingresso nominale …………………………..kW
Tensione di alimentazione …………..…………………..VAC 1-phase / 3-phase
Numero di uscite vapore …….…………………….
Diametro uscite vapore ……………….……..mm
Pressione del vapore……………….………….…..Pa
Connessione acqua …………..…3/4” G MALE
Scarico acqua…………….……………..……40 mm
Accessori per installazione in condotta:
- Distributore di vapore in acciaio inox AISI304 con flangia di connessione e drenaggio condensa;  lunghezza…….mm
- Ugello di distribuzione del vapore
Accessori per installazione in ambiente:
- Distributore di vapore ventilato, box di metallo e deflettore per regolazione del flusso di vapore nell’ambiente.
L’umidificatore deve avere le seguenti caratteristiche (2, 4, 6, 10, 13, 20, 27, 40, 53, 60, 80 kg/h):
• Resistenze elettriche in titanio a bassa resistenza termica a garanzia di una veloce e stabile produzione di vapore e a sicurezza contro le sovratemperature;
• Sensore di livello per un controllo preciso del livello dell’acqua nel cilindro per l’intero range di conducibilità 0…1500µS/cm, senza nessuna variazione o aggiunta di dispositivi esterni;
• Ogni resistenza elettrica deve avere una sonda PTC per rilevare la temperatura e proteggere gli elementi riscaldanti dalle sovratemperature  (brevetto) 
• Precisione del controllo dell’umidità programmabile (± 1 %rH). 
• La regolazione della capacità deve essere impostabile nell’intervallo 0..100% della capacità nominale 
• L’umidificatore deve essere utilizzabile con ogni tipo d’acqua: di rete, demineralizzata, deionizzata o addolcita (≤1µS/cm è richiesto heaterSteam titanium);
• Protezione da sovratemperatura sul coperchio del boiler (klixon, UR020-UR080);
• modelli 2-13 kg/h: il cilindro in acciaio AISI 304 deve essere apribile per la manutenzione; modelli 20-80 kg/h: il cilindro deve essere in acciaio AISI304 e apribile: il coperchio e il pannello frontale inferiore (pannello di ispezione) devono essere rimovibili per una facile manutenzione;
• Conducimetro integrato per una gestione automatica degli scarichi per diluizione e conseguenti carichi in base alla qualità dell’acqua;
• Relè allo stato solido SSR (solid-state relay) per una modulazione precisa della produzione del vapore dosando la potenza;
• Algoritmo anti-schiuma (AFS – Anti Foam System) per prevenire un’irregolare produzione dell’umidificatore a causa della formazione di schiuma nel cilindro (brevetto Carel);
• Il generatore di vapore dovrà inoltre avere un doppio sensore a elettrodi per determinare l’eventuale schiuma nell’acqua e livello limite dell’acqua;
• isolamento termico del boiler per ridurre le perdite di calore;
• Funzione di shock termico per rimuovere il calcare dagli elementi riscaldanti, la funzione riduce la pulizia rendendo più facile la manutenzione;
• per modelli da 2 a 13 kg/h: sacco in kevlar (riutilizzabile) interno al cilindro per una facile e veloce pulizia; non necessita di guarnizioni aggiuntive;
• Sonda di temperatura NTC per l’acqua del boiler;
• Funzione di pre-riscaldo per ridurre il tempo di produzione (set point di pre-riscaldo programmabile);
• L’umidificatore deve poter limitare la produzione di vapore in base a una sonda limite proporzionalmente e in modo autoadattativo alla portata d’aria della UTA/condotta;
• L’umidificatore deve essere dotato di trasformatore interno, non si necessita della linea del neutro per l’alimentazione o di un trasformatore esterno addizionale;
• Carpenteria metallica con pannello frontale rimovibile per un facile accesso durante la manutenzione;
• Sezione elettrica dedicata e separata da specifica parete che comprende circuito elettrico e componenti di controllo, realizzata a stato dell’arte;
• La porta USB a bordo deve poter essere utilizzata per un aggiornamento del software, salvataggio dei log delle variabile e per l’esportazione dello storico allarme.  Inoltre, possibilità di esportare e importare i valori dei parametri tra le unità;
• Ingresso digitale di tipo ON/OFF per attivazione/disattivazione da remoto;
• Controllo delle operazioni con algoritmo autoadattativo in base alla qualità dell’acqua;
• 4 relè a bordo per la segnalazione remota di: segnale di allarme, stato unità (produzione vapore), unità on/off, relè per la testata ventilante;
• Il tipo di segnale deve essere selezionabile da interfaccia utente tra: on/off (umidostato), 0…10 V, 2…10 V, 0…1 V, 0…20 mA, 4…20 mA e NTC (in caso di regolazione in temperatura);
• Porta seriale RS485 per comunicazione con dispositivi CAREL, Modbus® e Bacnet. Senza l’aggiunta di dispositivi esterni;
• Porta Ethernet per comunicazione con dispositive Modbus® o Bacnet. Senza l’aggiunta di dispositivi esterni;
• Strat-up wizard per facile configurazione dell’unità a step durante il primo avvio;
• Tipo di regolazione: controllo con 9 tipi di algoritmi sempre a disposizione dell’utente: on/off, produzione proporzionale ad una richiesta esterna, produzione proporzionale ad una richiesta esterna con sonda limite modulante, regolazione integrata %rH con sonde ambiente e sonda limite modulante, regolazione integrata %rH con due sonde ambiente (media), regolazione integrata in temperatura (°C/°F) con sonda ambiente, regolazione integrata in temperatura (°C/°F) con due sonde ambiente (media), regolazione integrata in temperatura (°C/°F) con sonda ambiente e sonda limite;
• Funzione Master-slave per estendere la capacità di vapore con rotazione automatica delle unità;
• Funzione di backup delle unità integrata per applicazioni che richiedono servizio continuativo ed evitare fermi macchina per la manutenzione;
• Funzione di backup per manutenzione per attivazione automatica di una seconda unità durante la manutenzione;
• Gestione di sonde wireless (fino a 4) per evitare il cablaggio negli edifici. Definizione del peso delle sonde da parte dell’utente;
• Plug&amp;Play web server per monitoraggio e impostazione dell’unità da posizione remota;
• Tastiera per cambiare valore in visualizzazione, per settare i parametri, e resettare gli allarmi;
• Visualizzazione della conducibilità dell’acqua di ingresso;
• Selezione delle unità di misura (SI o Imperial);
• Controllo automatico della valvola, pompa, sensore di livello acqua, presenza di acqua di ingresso durante l’avviamento dell’umidificatore;
• Gestione automatica della mancanza di acqua di ingresso con riavvio automatico quando l’acqua è presente nuovamente;
• Messaggi automatici di manutenzione;
• Pompa di drenaggio acqua sull’intero range di capacità (2…80kg/h) per un facile scarico dei residui di calcare;
•  Il cilindro devono essere automaticamente svuotati dall’acqua nel caso di prolungata inattività, il time-out deve essere programmabile dall’utente;
• compliances: CE, ETL, TÜV PRODUCT SERVICE, EAC;
• [Opzionale] sonda di umidità %rH a muro per applicazioni civili (10 %rH … 90 %rH)
• [Opzionale] sonda di umidità %rH  e di temperatura per applicazioni industriali IP54 (0 %rH … 100 %rH, -10T70 °C)
• [Opzionale] sonda di umidità %rH  per condotta IP40 (10 %rH … 90 %rH)
• [Opzionale] sonda limite di umidità %rH per condotta IP40 (0 %rH … 100 %rH)
</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</si>
</sst>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7" formatCode="&quot;€&quot;\ #,##0.00;\-&quot;€&quot;\ #,##0.00"/>
    <numFmt numFmtId="164" formatCode="_-&quot;L.&quot;\ * #,##0.00_-;\-&quot;L.&quot;\ * #,##0.00_-;_-&quot;L.&quot;\ * &quot;-&quot;??_-;_-@_-"/>
    <numFmt numFmtId="165" formatCode="0.0000"/>
    <numFmt numFmtId="166" formatCode="0.000"/>
    <numFmt numFmtId="167" formatCode="0.0"/>
    <numFmt numFmtId="168" formatCode="0.0%"/>
    <numFmt numFmtId="169" formatCode="_-[$€]\ * #,##0.00_-;\-[$€]\ * #,##0.00_-;_-[$€]\ * &quot;-&quot;??_-;_-@_-"/>
    <numFmt numFmtId="170" formatCode="&quot;€&quot;\ #,##0.00"/>
    <numFmt numFmtId="171" formatCode="0.0000E+00"/>
    <numFmt numFmtId="172" formatCode="_-[$€-410]\ * #,##0.00_-;\-[$€-410]\ * #,##0.00_-;_-[$€-410]\ * &quot;-&quot;??_-;_-@_-"/>
  </numFmts>
  <fonts count="104" x14ac:knownFonts="1">
    <font>
      <sz val="10"/>
      <name val="Arial"/>
    </font>
    <font>
      <sz val="10"/>
      <name val="Arial"/>
      <family val="2"/>
    </font>
    <font>
      <sz val="8"/>
      <name val="Arial"/>
      <family val="2"/>
    </font>
    <font>
      <b/>
      <sz val="10"/>
      <name val="Arial"/>
      <family val="2"/>
    </font>
    <font>
      <sz val="8"/>
      <name val="Arial"/>
      <family val="2"/>
    </font>
    <font>
      <sz val="9"/>
      <name val="Arial Narrow"/>
      <family val="2"/>
    </font>
    <font>
      <sz val="8"/>
      <name val="Arial Narrow"/>
      <family val="2"/>
    </font>
    <font>
      <b/>
      <sz val="8"/>
      <name val="Arial Narrow"/>
      <family val="2"/>
    </font>
    <font>
      <sz val="10"/>
      <name val="Arial"/>
      <family val="2"/>
    </font>
    <font>
      <b/>
      <sz val="8"/>
      <name val="Arial"/>
      <family val="2"/>
    </font>
    <font>
      <b/>
      <sz val="16"/>
      <name val="Arial Narrow"/>
      <family val="2"/>
    </font>
    <font>
      <b/>
      <sz val="10"/>
      <color indexed="18"/>
      <name val="Arial"/>
      <family val="2"/>
    </font>
    <font>
      <sz val="10"/>
      <name val="Arial"/>
      <family val="2"/>
    </font>
    <font>
      <sz val="12"/>
      <name val="Verdana"/>
      <family val="2"/>
    </font>
    <font>
      <sz val="10"/>
      <name val="Verdana"/>
      <family val="2"/>
    </font>
    <font>
      <sz val="8"/>
      <name val="Verdana"/>
      <family val="2"/>
    </font>
    <font>
      <i/>
      <sz val="10"/>
      <name val="Arial"/>
      <family val="2"/>
    </font>
    <font>
      <b/>
      <sz val="10"/>
      <name val="Verdana"/>
      <family val="2"/>
    </font>
    <font>
      <b/>
      <sz val="10"/>
      <name val="Arial"/>
      <family val="2"/>
    </font>
    <font>
      <b/>
      <sz val="8"/>
      <name val="Arial"/>
      <family val="2"/>
    </font>
    <font>
      <b/>
      <u/>
      <sz val="12"/>
      <color indexed="10"/>
      <name val="Arial"/>
      <family val="2"/>
    </font>
    <font>
      <b/>
      <sz val="14"/>
      <color indexed="10"/>
      <name val="Arial"/>
      <family val="2"/>
    </font>
    <font>
      <b/>
      <sz val="12"/>
      <name val="Arial"/>
      <family val="2"/>
    </font>
    <font>
      <b/>
      <sz val="22"/>
      <color indexed="50"/>
      <name val="Verdana"/>
      <family val="2"/>
    </font>
    <font>
      <b/>
      <sz val="16"/>
      <name val="Verdana"/>
      <family val="2"/>
    </font>
    <font>
      <b/>
      <sz val="8"/>
      <name val="Verdana"/>
      <family val="2"/>
    </font>
    <font>
      <i/>
      <sz val="10"/>
      <name val="Verdana"/>
      <family val="2"/>
    </font>
    <font>
      <b/>
      <i/>
      <sz val="10"/>
      <color indexed="10"/>
      <name val="Verdana"/>
      <family val="2"/>
    </font>
    <font>
      <b/>
      <u/>
      <sz val="16"/>
      <color indexed="14"/>
      <name val="Verdana"/>
      <family val="2"/>
    </font>
    <font>
      <sz val="9"/>
      <name val="Verdana"/>
      <family val="2"/>
    </font>
    <font>
      <sz val="6"/>
      <name val="Verdana"/>
      <family val="2"/>
    </font>
    <font>
      <b/>
      <u/>
      <sz val="14"/>
      <color indexed="14"/>
      <name val="Verdana"/>
      <family val="2"/>
    </font>
    <font>
      <b/>
      <sz val="14"/>
      <color indexed="50"/>
      <name val="Verdana"/>
      <family val="2"/>
    </font>
    <font>
      <b/>
      <sz val="14"/>
      <name val="Verdana"/>
      <family val="2"/>
    </font>
    <font>
      <b/>
      <sz val="20"/>
      <color indexed="50"/>
      <name val="Verdana"/>
      <family val="2"/>
    </font>
    <font>
      <b/>
      <sz val="10"/>
      <color indexed="9"/>
      <name val="Verdana"/>
      <family val="2"/>
    </font>
    <font>
      <b/>
      <sz val="9"/>
      <name val="Verdana"/>
      <family val="2"/>
    </font>
    <font>
      <b/>
      <u/>
      <sz val="10"/>
      <color indexed="10"/>
      <name val="Verdana"/>
      <family val="2"/>
    </font>
    <font>
      <sz val="8"/>
      <color indexed="81"/>
      <name val="Tahoma"/>
      <family val="2"/>
    </font>
    <font>
      <b/>
      <sz val="8"/>
      <color indexed="81"/>
      <name val="Tahoma"/>
      <family val="2"/>
    </font>
    <font>
      <sz val="10"/>
      <name val="Calibri"/>
      <family val="2"/>
    </font>
    <font>
      <sz val="10"/>
      <color indexed="8"/>
      <name val="Verdana"/>
      <family val="2"/>
    </font>
    <font>
      <i/>
      <sz val="10"/>
      <color indexed="8"/>
      <name val="Verdana"/>
      <family val="2"/>
    </font>
    <font>
      <sz val="9"/>
      <name val="Arial"/>
      <family val="2"/>
    </font>
    <font>
      <sz val="9"/>
      <color indexed="81"/>
      <name val="Tahoma"/>
      <family val="2"/>
    </font>
    <font>
      <b/>
      <sz val="9"/>
      <color indexed="81"/>
      <name val="Tahoma"/>
      <family val="2"/>
    </font>
    <font>
      <strike/>
      <sz val="8"/>
      <name val="Arial"/>
      <family val="2"/>
    </font>
    <font>
      <b/>
      <strike/>
      <sz val="8"/>
      <name val="Cambria"/>
      <family val="1"/>
    </font>
    <font>
      <strike/>
      <sz val="8"/>
      <name val="Cambria"/>
      <family val="1"/>
    </font>
    <font>
      <strike/>
      <sz val="10"/>
      <name val="Verdana"/>
      <family val="2"/>
    </font>
    <font>
      <b/>
      <sz val="12"/>
      <color indexed="50"/>
      <name val="Verdana"/>
      <family val="2"/>
    </font>
    <font>
      <b/>
      <sz val="11"/>
      <color indexed="50"/>
      <name val="Verdana"/>
      <family val="2"/>
    </font>
    <font>
      <strike/>
      <sz val="10"/>
      <name val="Arial"/>
      <family val="2"/>
    </font>
    <font>
      <strike/>
      <sz val="10"/>
      <name val="Cambria"/>
      <family val="1"/>
    </font>
    <font>
      <sz val="10"/>
      <color rgb="FFFF0000"/>
      <name val="Arial"/>
      <family val="2"/>
    </font>
    <font>
      <sz val="10"/>
      <color theme="4"/>
      <name val="Arial"/>
      <family val="2"/>
    </font>
    <font>
      <b/>
      <sz val="9"/>
      <color rgb="FF000000"/>
      <name val="Verdana"/>
      <family val="2"/>
    </font>
    <font>
      <sz val="10"/>
      <color rgb="FFC00000"/>
      <name val="Arial"/>
      <family val="2"/>
    </font>
    <font>
      <sz val="10"/>
      <color rgb="FFC00000"/>
      <name val="Calibri"/>
      <family val="2"/>
    </font>
    <font>
      <sz val="9"/>
      <color rgb="FFC00000"/>
      <name val="Verdana"/>
      <family val="2"/>
    </font>
    <font>
      <sz val="9"/>
      <color theme="3"/>
      <name val="Verdana"/>
      <family val="2"/>
    </font>
    <font>
      <sz val="10"/>
      <color theme="3"/>
      <name val="Arial"/>
      <family val="2"/>
    </font>
    <font>
      <sz val="10"/>
      <color theme="3"/>
      <name val="Calibri"/>
      <family val="2"/>
    </font>
    <font>
      <sz val="10"/>
      <color rgb="FF000000"/>
      <name val="Verdana"/>
      <family val="2"/>
    </font>
    <font>
      <sz val="10"/>
      <color theme="0"/>
      <name val="Verdana"/>
      <family val="2"/>
    </font>
    <font>
      <sz val="8"/>
      <color theme="1"/>
      <name val="Arial"/>
      <family val="2"/>
    </font>
    <font>
      <sz val="8"/>
      <color rgb="FFFF0000"/>
      <name val="Arial"/>
      <family val="2"/>
    </font>
    <font>
      <sz val="8"/>
      <color theme="3"/>
      <name val="Arial"/>
      <family val="2"/>
    </font>
    <font>
      <sz val="8"/>
      <color theme="2" tint="-0.749992370372631"/>
      <name val="Arial"/>
      <family val="2"/>
    </font>
    <font>
      <sz val="10"/>
      <color theme="0"/>
      <name val="Arial"/>
      <family val="2"/>
    </font>
    <font>
      <b/>
      <sz val="8"/>
      <color rgb="FFFF0000"/>
      <name val="Arial"/>
      <family val="2"/>
    </font>
    <font>
      <b/>
      <sz val="11"/>
      <color rgb="FFFF0000"/>
      <name val="Arial"/>
      <family val="2"/>
    </font>
    <font>
      <b/>
      <sz val="12"/>
      <color rgb="FFFF0000"/>
      <name val="Arial"/>
      <family val="2"/>
    </font>
    <font>
      <i/>
      <sz val="10"/>
      <color theme="0" tint="-0.499984740745262"/>
      <name val="Verdana"/>
      <family val="2"/>
    </font>
    <font>
      <sz val="8"/>
      <color theme="5"/>
      <name val="Arial"/>
      <family val="2"/>
    </font>
    <font>
      <sz val="10"/>
      <color theme="5"/>
      <name val="Arial"/>
      <family val="2"/>
    </font>
    <font>
      <sz val="8"/>
      <color theme="2" tint="-0.499984740745262"/>
      <name val="Arial"/>
      <family val="2"/>
    </font>
    <font>
      <sz val="5"/>
      <color theme="2" tint="-0.499984740745262"/>
      <name val="Arial"/>
      <family val="2"/>
    </font>
    <font>
      <sz val="5"/>
      <color theme="0"/>
      <name val="Arial"/>
      <family val="2"/>
    </font>
    <font>
      <b/>
      <sz val="5"/>
      <color theme="0"/>
      <name val="Arial"/>
      <family val="2"/>
    </font>
    <font>
      <b/>
      <sz val="10"/>
      <color rgb="FFFFFFFF"/>
      <name val="Verdana"/>
      <family val="2"/>
    </font>
    <font>
      <sz val="10"/>
      <color theme="0" tint="-0.14999847407452621"/>
      <name val="Arial"/>
      <family val="2"/>
    </font>
    <font>
      <b/>
      <sz val="9"/>
      <color theme="0" tint="-0.14999847407452621"/>
      <name val="Arial"/>
      <family val="2"/>
    </font>
    <font>
      <b/>
      <sz val="10"/>
      <color theme="0" tint="-0.14999847407452621"/>
      <name val="Arial"/>
      <family val="2"/>
    </font>
    <font>
      <sz val="9"/>
      <color rgb="FF000000"/>
      <name val="Verdana"/>
      <family val="2"/>
    </font>
    <font>
      <b/>
      <sz val="10"/>
      <color theme="0" tint="-0.34998626667073579"/>
      <name val="Arial"/>
      <family val="2"/>
    </font>
    <font>
      <sz val="10"/>
      <color theme="0" tint="-0.34998626667073579"/>
      <name val="Arial"/>
      <family val="2"/>
    </font>
    <font>
      <sz val="10"/>
      <color theme="0" tint="-0.34998626667073579"/>
      <name val="Verdana"/>
      <family val="2"/>
    </font>
    <font>
      <sz val="8"/>
      <color theme="0" tint="-0.34998626667073579"/>
      <name val="Arial"/>
      <family val="2"/>
    </font>
    <font>
      <i/>
      <sz val="8"/>
      <color theme="0" tint="-0.34998626667073579"/>
      <name val="Arial"/>
      <family val="2"/>
    </font>
    <font>
      <b/>
      <sz val="11"/>
      <color theme="0" tint="-0.34998626667073579"/>
      <name val="Arial"/>
      <family val="2"/>
    </font>
    <font>
      <b/>
      <sz val="10"/>
      <color theme="1"/>
      <name val="Arial"/>
      <family val="2"/>
    </font>
    <font>
      <sz val="10"/>
      <color theme="1"/>
      <name val="Arial"/>
      <family val="2"/>
    </font>
    <font>
      <sz val="10"/>
      <color theme="1"/>
      <name val="Verdana"/>
      <family val="2"/>
    </font>
    <font>
      <sz val="8"/>
      <color rgb="FF222222"/>
      <name val="Arial"/>
      <family val="2"/>
    </font>
    <font>
      <sz val="10"/>
      <color rgb="FFFFFF00"/>
      <name val="Arial"/>
      <family val="2"/>
    </font>
    <font>
      <b/>
      <sz val="12"/>
      <color rgb="FFFF0000"/>
      <name val="Verdana"/>
      <family val="2"/>
    </font>
    <font>
      <sz val="12"/>
      <color rgb="FFFF0000"/>
      <name val="Verdana"/>
      <family val="2"/>
    </font>
    <font>
      <sz val="10"/>
      <color rgb="FFFF0000"/>
      <name val="Verdana"/>
      <family val="2"/>
    </font>
    <font>
      <b/>
      <sz val="10"/>
      <color rgb="FFFF0000"/>
      <name val="Verdana"/>
      <family val="2"/>
    </font>
    <font>
      <b/>
      <sz val="10"/>
      <color theme="0"/>
      <name val="Verdana"/>
      <family val="2"/>
    </font>
    <font>
      <b/>
      <sz val="10"/>
      <color theme="3"/>
      <name val="Arial"/>
      <family val="2"/>
    </font>
    <font>
      <b/>
      <sz val="10"/>
      <color rgb="FFC00000"/>
      <name val="Arial"/>
      <family val="2"/>
    </font>
    <font>
      <sz val="10"/>
      <name val="Calibri"/>
      <family val="2"/>
      <scheme val="minor"/>
    </font>
  </fonts>
  <fills count="1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22"/>
        <bgColor indexed="64"/>
      </patternFill>
    </fill>
    <fill>
      <patternFill patternType="solid">
        <fgColor indexed="50"/>
        <bgColor indexed="64"/>
      </patternFill>
    </fill>
    <fill>
      <patternFill patternType="solid">
        <fgColor indexed="51"/>
        <bgColor indexed="64"/>
      </patternFill>
    </fill>
    <fill>
      <patternFill patternType="solid">
        <fgColor indexed="10"/>
        <bgColor indexed="64"/>
      </patternFill>
    </fill>
    <fill>
      <patternFill patternType="solid">
        <fgColor indexed="13"/>
        <bgColor indexed="64"/>
      </patternFill>
    </fill>
    <fill>
      <patternFill patternType="mediumGray">
        <fgColor indexed="9"/>
        <bgColor indexed="50"/>
      </patternFill>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theme="1"/>
        <bgColor indexed="64"/>
      </patternFill>
    </fill>
    <fill>
      <patternFill patternType="solid">
        <fgColor rgb="FFFF0000"/>
        <bgColor indexed="64"/>
      </patternFill>
    </fill>
    <fill>
      <patternFill patternType="solid">
        <fgColor rgb="FFFFFFFF"/>
        <bgColor indexed="64"/>
      </patternFill>
    </fill>
    <fill>
      <patternFill patternType="solid">
        <fgColor rgb="FF92D050"/>
        <bgColor indexed="64"/>
      </patternFill>
    </fill>
    <fill>
      <patternFill patternType="solid">
        <fgColor rgb="FF99CC00"/>
        <bgColor indexed="64"/>
      </patternFill>
    </fill>
  </fills>
  <borders count="1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22"/>
      </left>
      <right/>
      <top style="thin">
        <color indexed="22"/>
      </top>
      <bottom/>
      <diagonal/>
    </border>
    <border>
      <left/>
      <right/>
      <top style="thin">
        <color indexed="22"/>
      </top>
      <bottom/>
      <diagonal/>
    </border>
    <border>
      <left/>
      <right style="thin">
        <color indexed="22"/>
      </right>
      <top style="thin">
        <color indexed="22"/>
      </top>
      <bottom/>
      <diagonal/>
    </border>
    <border>
      <left style="thin">
        <color indexed="22"/>
      </left>
      <right/>
      <top/>
      <bottom/>
      <diagonal/>
    </border>
    <border>
      <left/>
      <right style="thin">
        <color indexed="22"/>
      </right>
      <top/>
      <bottom/>
      <diagonal/>
    </border>
    <border>
      <left style="thin">
        <color indexed="22"/>
      </left>
      <right/>
      <top/>
      <bottom style="thin">
        <color indexed="22"/>
      </bottom>
      <diagonal/>
    </border>
    <border>
      <left/>
      <right/>
      <top/>
      <bottom style="thin">
        <color indexed="22"/>
      </bottom>
      <diagonal/>
    </border>
    <border>
      <left/>
      <right style="thin">
        <color indexed="22"/>
      </right>
      <top/>
      <bottom style="thin">
        <color indexed="22"/>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style="medium">
        <color indexed="64"/>
      </top>
      <bottom/>
      <diagonal/>
    </border>
    <border>
      <left/>
      <right/>
      <top style="medium">
        <color indexed="64"/>
      </top>
      <bottom/>
      <diagonal/>
    </border>
    <border>
      <left/>
      <right style="thick">
        <color indexed="64"/>
      </right>
      <top style="medium">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ck">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ck">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rgb="FF000000"/>
      </left>
      <right style="thin">
        <color rgb="FF000000"/>
      </right>
      <top style="thin">
        <color rgb="FF000000"/>
      </top>
      <bottom style="thin">
        <color rgb="FF000000"/>
      </bottom>
      <diagonal/>
    </border>
    <border>
      <left style="thick">
        <color indexed="64"/>
      </left>
      <right style="thick">
        <color theme="0"/>
      </right>
      <top style="thick">
        <color indexed="64"/>
      </top>
      <bottom style="thick">
        <color theme="0"/>
      </bottom>
      <diagonal/>
    </border>
    <border>
      <left style="thick">
        <color theme="0"/>
      </left>
      <right style="thick">
        <color theme="0"/>
      </right>
      <top style="thick">
        <color indexed="64"/>
      </top>
      <bottom style="thick">
        <color theme="0"/>
      </bottom>
      <diagonal/>
    </border>
    <border>
      <left style="thick">
        <color theme="0"/>
      </left>
      <right style="thick">
        <color indexed="64"/>
      </right>
      <top style="thick">
        <color indexed="64"/>
      </top>
      <bottom style="thick">
        <color theme="0"/>
      </bottom>
      <diagonal/>
    </border>
    <border>
      <left style="thick">
        <color indexed="64"/>
      </left>
      <right style="thick">
        <color theme="0"/>
      </right>
      <top style="thick">
        <color theme="0"/>
      </top>
      <bottom style="thick">
        <color theme="0"/>
      </bottom>
      <diagonal/>
    </border>
    <border>
      <left style="thick">
        <color theme="0"/>
      </left>
      <right style="thick">
        <color theme="0"/>
      </right>
      <top style="thick">
        <color theme="0"/>
      </top>
      <bottom style="thick">
        <color theme="0"/>
      </bottom>
      <diagonal/>
    </border>
    <border>
      <left style="thick">
        <color theme="0"/>
      </left>
      <right style="thick">
        <color indexed="64"/>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thick">
        <color theme="0"/>
      </right>
      <top style="thick">
        <color theme="0"/>
      </top>
      <bottom/>
      <diagonal/>
    </border>
    <border>
      <left style="thick">
        <color theme="0"/>
      </left>
      <right style="thick">
        <color theme="0"/>
      </right>
      <top style="thin">
        <color indexed="64"/>
      </top>
      <bottom style="medium">
        <color indexed="64"/>
      </bottom>
      <diagonal/>
    </border>
    <border>
      <left style="thick">
        <color theme="0"/>
      </left>
      <right style="thick">
        <color theme="0"/>
      </right>
      <top style="thick">
        <color theme="0"/>
      </top>
      <bottom style="medium">
        <color indexed="64"/>
      </bottom>
      <diagonal/>
    </border>
    <border>
      <left style="thick">
        <color theme="0"/>
      </left>
      <right style="thick">
        <color indexed="64"/>
      </right>
      <top style="thick">
        <color theme="0"/>
      </top>
      <bottom style="medium">
        <color indexed="64"/>
      </bottom>
      <diagonal/>
    </border>
    <border>
      <left style="medium">
        <color indexed="64"/>
      </left>
      <right style="thick">
        <color theme="0"/>
      </right>
      <top style="medium">
        <color indexed="64"/>
      </top>
      <bottom style="thick">
        <color theme="0"/>
      </bottom>
      <diagonal/>
    </border>
    <border>
      <left style="thick">
        <color theme="0"/>
      </left>
      <right style="thick">
        <color theme="0"/>
      </right>
      <top style="medium">
        <color indexed="64"/>
      </top>
      <bottom style="thick">
        <color theme="0"/>
      </bottom>
      <diagonal/>
    </border>
    <border>
      <left style="thick">
        <color theme="0"/>
      </left>
      <right style="medium">
        <color indexed="64"/>
      </right>
      <top style="medium">
        <color indexed="64"/>
      </top>
      <bottom style="thick">
        <color theme="0"/>
      </bottom>
      <diagonal/>
    </border>
    <border>
      <left style="medium">
        <color indexed="64"/>
      </left>
      <right style="thick">
        <color theme="0"/>
      </right>
      <top style="thick">
        <color theme="0"/>
      </top>
      <bottom style="thick">
        <color theme="0"/>
      </bottom>
      <diagonal/>
    </border>
    <border>
      <left style="thick">
        <color theme="0"/>
      </left>
      <right style="medium">
        <color indexed="64"/>
      </right>
      <top style="thick">
        <color theme="0"/>
      </top>
      <bottom style="thick">
        <color theme="0"/>
      </bottom>
      <diagonal/>
    </border>
    <border>
      <left style="medium">
        <color indexed="64"/>
      </left>
      <right style="thick">
        <color theme="0"/>
      </right>
      <top style="thick">
        <color theme="0"/>
      </top>
      <bottom/>
      <diagonal/>
    </border>
    <border>
      <left style="medium">
        <color indexed="64"/>
      </left>
      <right style="thick">
        <color theme="0"/>
      </right>
      <top style="thick">
        <color theme="0"/>
      </top>
      <bottom style="medium">
        <color indexed="64"/>
      </bottom>
      <diagonal/>
    </border>
    <border>
      <left style="thick">
        <color theme="0"/>
      </left>
      <right style="medium">
        <color indexed="64"/>
      </right>
      <top style="thick">
        <color theme="0"/>
      </top>
      <bottom style="medium">
        <color indexed="64"/>
      </bottom>
      <diagonal/>
    </border>
    <border>
      <left style="thick">
        <color indexed="64"/>
      </left>
      <right style="thick">
        <color theme="0"/>
      </right>
      <top style="thick">
        <color theme="0"/>
      </top>
      <bottom/>
      <diagonal/>
    </border>
    <border>
      <left style="thick">
        <color indexed="64"/>
      </left>
      <right style="thick">
        <color theme="0"/>
      </right>
      <top/>
      <bottom style="thick">
        <color theme="0"/>
      </bottom>
      <diagonal/>
    </border>
    <border>
      <left style="thick">
        <color indexed="64"/>
      </left>
      <right style="thick">
        <color theme="0"/>
      </right>
      <top style="thin">
        <color indexed="64"/>
      </top>
      <bottom style="medium">
        <color indexed="64"/>
      </bottom>
      <diagonal/>
    </border>
    <border>
      <left style="thin">
        <color theme="0"/>
      </left>
      <right style="thin">
        <color theme="0"/>
      </right>
      <top style="thin">
        <color theme="0"/>
      </top>
      <bottom style="thin">
        <color theme="0"/>
      </bottom>
      <diagonal/>
    </border>
    <border>
      <left style="thick">
        <color rgb="FF000000"/>
      </left>
      <right style="medium">
        <color rgb="FF000000"/>
      </right>
      <top style="thick">
        <color rgb="FF000000"/>
      </top>
      <bottom/>
      <diagonal/>
    </border>
    <border>
      <left style="medium">
        <color rgb="FF000000"/>
      </left>
      <right style="medium">
        <color rgb="FF000000"/>
      </right>
      <top style="thick">
        <color rgb="FF000000"/>
      </top>
      <bottom/>
      <diagonal/>
    </border>
    <border>
      <left style="medium">
        <color rgb="FF000000"/>
      </left>
      <right style="thick">
        <color rgb="FF000000"/>
      </right>
      <top style="thick">
        <color rgb="FF000000"/>
      </top>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theme="0"/>
      </left>
      <right/>
      <top style="thin">
        <color theme="0"/>
      </top>
      <bottom style="thick">
        <color indexed="64"/>
      </bottom>
      <diagonal/>
    </border>
    <border>
      <left/>
      <right/>
      <top style="thin">
        <color theme="0"/>
      </top>
      <bottom style="thick">
        <color indexed="64"/>
      </bottom>
      <diagonal/>
    </border>
    <border>
      <left/>
      <right style="thin">
        <color theme="0"/>
      </right>
      <top style="thin">
        <color theme="0"/>
      </top>
      <bottom style="thick">
        <color indexed="64"/>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style="thick">
        <color rgb="FF000000"/>
      </left>
      <right style="medium">
        <color rgb="FF000000"/>
      </right>
      <top/>
      <bottom/>
      <diagonal/>
    </border>
    <border>
      <left style="medium">
        <color rgb="FF000000"/>
      </left>
      <right style="medium">
        <color rgb="FF000000"/>
      </right>
      <top/>
      <bottom/>
      <diagonal/>
    </border>
    <border>
      <left style="medium">
        <color rgb="FF000000"/>
      </left>
      <right style="thick">
        <color rgb="FF000000"/>
      </right>
      <top/>
      <bottom/>
      <diagonal/>
    </border>
  </borders>
  <cellStyleXfs count="3">
    <xf numFmtId="0" fontId="0" fillId="0" borderId="0"/>
    <xf numFmtId="169" fontId="1" fillId="0" borderId="0" applyFont="0" applyFill="0" applyBorder="0" applyAlignment="0" applyProtection="0"/>
    <xf numFmtId="164" fontId="1" fillId="0" borderId="0" applyFont="0" applyFill="0" applyBorder="0" applyAlignment="0" applyProtection="0"/>
  </cellStyleXfs>
  <cellXfs count="811">
    <xf numFmtId="0" fontId="0" fillId="0" borderId="0" xfId="0"/>
    <xf numFmtId="0" fontId="0" fillId="0" borderId="0" xfId="0" applyAlignment="1" applyProtection="1">
      <protection hidden="1"/>
    </xf>
    <xf numFmtId="0" fontId="0" fillId="0" borderId="0" xfId="0" applyProtection="1">
      <protection hidden="1"/>
    </xf>
    <xf numFmtId="0" fontId="4" fillId="0" borderId="0" xfId="0" applyFont="1" applyProtection="1">
      <protection hidden="1"/>
    </xf>
    <xf numFmtId="0" fontId="2" fillId="0" borderId="0" xfId="0" applyFont="1" applyProtection="1">
      <protection hidden="1"/>
    </xf>
    <xf numFmtId="0" fontId="0" fillId="0" borderId="0" xfId="0" applyAlignment="1" applyProtection="1">
      <alignment horizontal="center"/>
      <protection hidden="1"/>
    </xf>
    <xf numFmtId="0" fontId="0" fillId="0" borderId="1" xfId="0" applyBorder="1" applyProtection="1">
      <protection hidden="1"/>
    </xf>
    <xf numFmtId="0" fontId="0" fillId="0" borderId="0" xfId="0" applyBorder="1" applyAlignment="1" applyProtection="1">
      <protection hidden="1"/>
    </xf>
    <xf numFmtId="0" fontId="0" fillId="0" borderId="0" xfId="0" applyFill="1" applyProtection="1">
      <protection hidden="1"/>
    </xf>
    <xf numFmtId="0" fontId="0" fillId="0" borderId="2" xfId="0" applyBorder="1" applyProtection="1">
      <protection hidden="1"/>
    </xf>
    <xf numFmtId="0" fontId="0" fillId="0" borderId="3" xfId="0" applyBorder="1" applyProtection="1">
      <protection hidden="1"/>
    </xf>
    <xf numFmtId="0" fontId="0" fillId="0" borderId="4" xfId="0" applyBorder="1" applyProtection="1">
      <protection hidden="1"/>
    </xf>
    <xf numFmtId="0" fontId="0" fillId="0" borderId="5" xfId="0" applyBorder="1" applyProtection="1">
      <protection hidden="1"/>
    </xf>
    <xf numFmtId="0" fontId="0" fillId="0" borderId="0" xfId="0" applyBorder="1" applyProtection="1">
      <protection hidden="1"/>
    </xf>
    <xf numFmtId="0" fontId="0" fillId="0" borderId="6" xfId="0" applyBorder="1" applyProtection="1">
      <protection hidden="1"/>
    </xf>
    <xf numFmtId="0" fontId="0" fillId="0" borderId="7" xfId="0" applyBorder="1" applyProtection="1">
      <protection hidden="1"/>
    </xf>
    <xf numFmtId="0" fontId="0" fillId="0" borderId="2" xfId="0" applyFill="1" applyBorder="1" applyProtection="1">
      <protection hidden="1"/>
    </xf>
    <xf numFmtId="0" fontId="0" fillId="0" borderId="8" xfId="0" applyBorder="1" applyProtection="1">
      <protection hidden="1"/>
    </xf>
    <xf numFmtId="9" fontId="0" fillId="0" borderId="0" xfId="0" applyNumberFormat="1" applyProtection="1">
      <protection hidden="1"/>
    </xf>
    <xf numFmtId="167" fontId="0" fillId="0" borderId="0" xfId="0" applyNumberFormat="1" applyProtection="1">
      <protection hidden="1"/>
    </xf>
    <xf numFmtId="2" fontId="0" fillId="0" borderId="0" xfId="0" applyNumberFormat="1" applyProtection="1">
      <protection hidden="1"/>
    </xf>
    <xf numFmtId="0" fontId="8" fillId="0" borderId="0" xfId="0" applyFont="1" applyFill="1" applyBorder="1" applyAlignment="1" applyProtection="1">
      <protection hidden="1"/>
    </xf>
    <xf numFmtId="0" fontId="8" fillId="0" borderId="0" xfId="0" applyFont="1" applyBorder="1" applyAlignment="1" applyProtection="1">
      <protection hidden="1"/>
    </xf>
    <xf numFmtId="0" fontId="8" fillId="0" borderId="0" xfId="0" applyFont="1" applyBorder="1" applyAlignment="1" applyProtection="1">
      <alignment wrapText="1"/>
      <protection hidden="1"/>
    </xf>
    <xf numFmtId="0" fontId="2" fillId="0" borderId="0" xfId="0" applyFont="1" applyBorder="1" applyProtection="1">
      <protection hidden="1"/>
    </xf>
    <xf numFmtId="0" fontId="8" fillId="0" borderId="0" xfId="0" applyFont="1" applyFill="1" applyBorder="1" applyProtection="1">
      <protection hidden="1"/>
    </xf>
    <xf numFmtId="0" fontId="8" fillId="0" borderId="0" xfId="0" applyFont="1" applyFill="1" applyBorder="1" applyAlignment="1" applyProtection="1">
      <alignment wrapText="1"/>
      <protection hidden="1"/>
    </xf>
    <xf numFmtId="0" fontId="0" fillId="2" borderId="1" xfId="0" applyFill="1" applyBorder="1" applyProtection="1">
      <protection hidden="1"/>
    </xf>
    <xf numFmtId="0" fontId="11" fillId="0" borderId="0" xfId="0" applyFont="1" applyBorder="1" applyAlignment="1" applyProtection="1">
      <alignment horizontal="center"/>
      <protection hidden="1"/>
    </xf>
    <xf numFmtId="0" fontId="8" fillId="0" borderId="0" xfId="0" applyFont="1" applyBorder="1" applyProtection="1">
      <protection hidden="1"/>
    </xf>
    <xf numFmtId="9" fontId="8" fillId="0" borderId="0" xfId="0" applyNumberFormat="1" applyFont="1" applyBorder="1" applyProtection="1">
      <protection hidden="1"/>
    </xf>
    <xf numFmtId="0" fontId="4" fillId="0" borderId="0" xfId="0" applyFont="1" applyFill="1" applyBorder="1" applyAlignment="1" applyProtection="1">
      <alignment horizontal="left"/>
      <protection hidden="1"/>
    </xf>
    <xf numFmtId="0" fontId="2" fillId="0" borderId="0" xfId="0" applyFont="1" applyFill="1" applyBorder="1" applyAlignment="1" applyProtection="1">
      <alignment horizontal="left"/>
      <protection hidden="1"/>
    </xf>
    <xf numFmtId="0" fontId="8" fillId="0" borderId="0" xfId="0" applyFont="1" applyFill="1" applyBorder="1" applyAlignment="1" applyProtection="1">
      <alignment horizontal="left"/>
      <protection hidden="1"/>
    </xf>
    <xf numFmtId="0" fontId="2" fillId="0" borderId="0" xfId="0" applyFont="1" applyBorder="1" applyAlignment="1" applyProtection="1">
      <alignment wrapText="1"/>
      <protection hidden="1"/>
    </xf>
    <xf numFmtId="0" fontId="2" fillId="0" borderId="0" xfId="0" applyFont="1" applyFill="1" applyBorder="1" applyAlignment="1" applyProtection="1">
      <alignment horizontal="center"/>
      <protection hidden="1"/>
    </xf>
    <xf numFmtId="9" fontId="8" fillId="0" borderId="0" xfId="0" applyNumberFormat="1" applyFont="1" applyFill="1" applyBorder="1" applyProtection="1">
      <protection hidden="1"/>
    </xf>
    <xf numFmtId="10" fontId="8" fillId="0" borderId="0" xfId="0" applyNumberFormat="1" applyFont="1" applyFill="1" applyBorder="1" applyProtection="1">
      <protection hidden="1"/>
    </xf>
    <xf numFmtId="0" fontId="4" fillId="0" borderId="0" xfId="0" applyFont="1" applyAlignment="1" applyProtection="1">
      <protection hidden="1"/>
    </xf>
    <xf numFmtId="0" fontId="4" fillId="0" borderId="0" xfId="0" applyFont="1" applyFill="1" applyBorder="1" applyAlignment="1" applyProtection="1">
      <protection hidden="1"/>
    </xf>
    <xf numFmtId="0" fontId="13" fillId="0" borderId="0" xfId="0" applyFont="1" applyProtection="1">
      <protection hidden="1"/>
    </xf>
    <xf numFmtId="0" fontId="14" fillId="0" borderId="0" xfId="0" applyFont="1" applyProtection="1">
      <protection hidden="1"/>
    </xf>
    <xf numFmtId="0" fontId="15" fillId="0" borderId="0" xfId="0" applyFont="1" applyProtection="1">
      <protection hidden="1"/>
    </xf>
    <xf numFmtId="0" fontId="2" fillId="0" borderId="0" xfId="0" applyFont="1" applyFill="1" applyProtection="1">
      <protection hidden="1"/>
    </xf>
    <xf numFmtId="11" fontId="2" fillId="0" borderId="1" xfId="0" applyNumberFormat="1" applyFont="1" applyBorder="1" applyAlignment="1" applyProtection="1">
      <alignment horizontal="center"/>
      <protection hidden="1"/>
    </xf>
    <xf numFmtId="0" fontId="2" fillId="0" borderId="0" xfId="0" applyFont="1" applyFill="1" applyAlignment="1" applyProtection="1">
      <alignment horizontal="left"/>
      <protection hidden="1"/>
    </xf>
    <xf numFmtId="0" fontId="0" fillId="0" borderId="0" xfId="0" applyFill="1" applyBorder="1" applyProtection="1">
      <protection hidden="1"/>
    </xf>
    <xf numFmtId="0" fontId="12" fillId="0" borderId="0" xfId="0" applyFont="1" applyFill="1" applyBorder="1" applyAlignment="1" applyProtection="1">
      <protection hidden="1"/>
    </xf>
    <xf numFmtId="9" fontId="2" fillId="0" borderId="0" xfId="0" applyNumberFormat="1" applyFont="1" applyFill="1" applyBorder="1" applyAlignment="1" applyProtection="1">
      <alignment horizontal="center"/>
      <protection hidden="1"/>
    </xf>
    <xf numFmtId="0" fontId="0" fillId="0" borderId="1" xfId="0" applyBorder="1" applyAlignment="1" applyProtection="1">
      <alignment horizontal="center"/>
      <protection hidden="1"/>
    </xf>
    <xf numFmtId="0" fontId="12" fillId="0" borderId="1" xfId="0" applyFont="1" applyBorder="1" applyProtection="1">
      <protection hidden="1"/>
    </xf>
    <xf numFmtId="0" fontId="10" fillId="0" borderId="0" xfId="0" applyFont="1" applyAlignment="1" applyProtection="1">
      <alignment horizontal="center"/>
      <protection hidden="1"/>
    </xf>
    <xf numFmtId="0" fontId="0" fillId="0" borderId="0" xfId="0" applyBorder="1" applyAlignment="1" applyProtection="1">
      <alignment horizontal="center"/>
      <protection hidden="1"/>
    </xf>
    <xf numFmtId="0" fontId="13" fillId="0" borderId="0" xfId="0" applyFont="1" applyAlignment="1" applyProtection="1">
      <alignment horizontal="center"/>
      <protection hidden="1"/>
    </xf>
    <xf numFmtId="0" fontId="14" fillId="0" borderId="0" xfId="0" applyFont="1" applyAlignment="1" applyProtection="1">
      <alignment horizontal="center"/>
      <protection hidden="1"/>
    </xf>
    <xf numFmtId="0" fontId="17" fillId="0" borderId="0" xfId="0" applyFont="1" applyProtection="1">
      <protection hidden="1"/>
    </xf>
    <xf numFmtId="0" fontId="14" fillId="0" borderId="0" xfId="0" applyFont="1" applyFill="1" applyBorder="1"/>
    <xf numFmtId="0" fontId="14" fillId="0" borderId="0" xfId="0" applyFont="1" applyBorder="1"/>
    <xf numFmtId="0" fontId="14" fillId="0" borderId="0" xfId="0" applyFont="1" applyFill="1" applyProtection="1">
      <protection hidden="1"/>
    </xf>
    <xf numFmtId="0" fontId="10" fillId="0" borderId="0" xfId="0" applyFont="1" applyAlignment="1" applyProtection="1">
      <protection hidden="1"/>
    </xf>
    <xf numFmtId="0" fontId="1" fillId="0" borderId="0" xfId="0" applyFont="1" applyProtection="1">
      <protection hidden="1"/>
    </xf>
    <xf numFmtId="0" fontId="18" fillId="0" borderId="0" xfId="0" applyFont="1" applyProtection="1">
      <protection hidden="1"/>
    </xf>
    <xf numFmtId="0" fontId="1" fillId="0" borderId="0" xfId="0" applyFont="1" applyFill="1" applyProtection="1">
      <protection hidden="1"/>
    </xf>
    <xf numFmtId="0" fontId="1" fillId="0" borderId="0" xfId="0" applyFont="1" applyBorder="1" applyProtection="1">
      <protection hidden="1"/>
    </xf>
    <xf numFmtId="0" fontId="1" fillId="0" borderId="7" xfId="0" applyFont="1" applyBorder="1" applyProtection="1">
      <protection hidden="1"/>
    </xf>
    <xf numFmtId="0" fontId="18" fillId="0" borderId="0" xfId="0" applyFont="1" applyFill="1" applyBorder="1" applyProtection="1">
      <protection hidden="1"/>
    </xf>
    <xf numFmtId="0" fontId="1" fillId="0" borderId="0" xfId="0" applyFont="1" applyFill="1" applyBorder="1" applyProtection="1">
      <protection hidden="1"/>
    </xf>
    <xf numFmtId="0" fontId="18" fillId="0" borderId="0" xfId="0" applyFont="1" applyFill="1" applyBorder="1" applyAlignment="1" applyProtection="1">
      <alignment horizontal="center"/>
      <protection hidden="1"/>
    </xf>
    <xf numFmtId="0" fontId="19" fillId="2" borderId="1" xfId="0" applyFont="1" applyFill="1" applyBorder="1" applyProtection="1">
      <protection hidden="1"/>
    </xf>
    <xf numFmtId="0" fontId="4" fillId="0" borderId="3" xfId="0" applyFont="1" applyFill="1" applyBorder="1" applyProtection="1">
      <protection hidden="1"/>
    </xf>
    <xf numFmtId="0" fontId="4" fillId="0" borderId="4" xfId="0" applyFont="1" applyFill="1" applyBorder="1" applyAlignment="1" applyProtection="1">
      <protection hidden="1"/>
    </xf>
    <xf numFmtId="0" fontId="4" fillId="0" borderId="4" xfId="0" applyNumberFormat="1" applyFont="1" applyFill="1" applyBorder="1" applyAlignment="1" applyProtection="1">
      <protection hidden="1"/>
    </xf>
    <xf numFmtId="0" fontId="4" fillId="0" borderId="9" xfId="0" applyFont="1" applyFill="1" applyBorder="1" applyProtection="1">
      <protection hidden="1"/>
    </xf>
    <xf numFmtId="0" fontId="4" fillId="0" borderId="5" xfId="0" applyFont="1" applyFill="1" applyBorder="1" applyProtection="1">
      <protection hidden="1"/>
    </xf>
    <xf numFmtId="0" fontId="4" fillId="0" borderId="0" xfId="0" applyNumberFormat="1" applyFont="1" applyFill="1" applyBorder="1" applyAlignment="1" applyProtection="1">
      <protection hidden="1"/>
    </xf>
    <xf numFmtId="0" fontId="4" fillId="0" borderId="10" xfId="0" applyFont="1" applyFill="1" applyBorder="1" applyProtection="1">
      <protection hidden="1"/>
    </xf>
    <xf numFmtId="11" fontId="4" fillId="0" borderId="0" xfId="0" applyNumberFormat="1" applyFont="1" applyFill="1" applyBorder="1" applyAlignment="1" applyProtection="1">
      <protection hidden="1"/>
    </xf>
    <xf numFmtId="9" fontId="1" fillId="0" borderId="0" xfId="0" applyNumberFormat="1" applyFont="1" applyFill="1" applyProtection="1">
      <protection hidden="1"/>
    </xf>
    <xf numFmtId="0" fontId="4" fillId="0" borderId="6" xfId="0" applyFont="1" applyFill="1" applyBorder="1" applyProtection="1">
      <protection hidden="1"/>
    </xf>
    <xf numFmtId="0" fontId="4" fillId="0" borderId="7" xfId="0" applyNumberFormat="1" applyFont="1" applyFill="1" applyBorder="1" applyAlignment="1" applyProtection="1">
      <protection hidden="1"/>
    </xf>
    <xf numFmtId="0" fontId="4" fillId="0" borderId="6" xfId="0" applyFont="1" applyBorder="1" applyProtection="1">
      <protection hidden="1"/>
    </xf>
    <xf numFmtId="0" fontId="4" fillId="0" borderId="10" xfId="0" applyFont="1" applyBorder="1" applyProtection="1">
      <protection hidden="1"/>
    </xf>
    <xf numFmtId="167" fontId="1" fillId="0" borderId="0" xfId="0" applyNumberFormat="1" applyFont="1" applyFill="1" applyProtection="1">
      <protection hidden="1"/>
    </xf>
    <xf numFmtId="0" fontId="4" fillId="0" borderId="3" xfId="0" applyFont="1" applyBorder="1" applyProtection="1">
      <protection hidden="1"/>
    </xf>
    <xf numFmtId="0" fontId="4" fillId="0" borderId="9" xfId="0" applyFont="1" applyBorder="1" applyProtection="1">
      <protection hidden="1"/>
    </xf>
    <xf numFmtId="0" fontId="4" fillId="0" borderId="5" xfId="0" applyFont="1" applyBorder="1" applyProtection="1">
      <protection hidden="1"/>
    </xf>
    <xf numFmtId="9" fontId="4" fillId="0" borderId="10" xfId="0" applyNumberFormat="1" applyFont="1" applyBorder="1" applyProtection="1">
      <protection hidden="1"/>
    </xf>
    <xf numFmtId="0" fontId="1" fillId="0" borderId="0" xfId="0" applyNumberFormat="1" applyFont="1" applyFill="1" applyBorder="1" applyProtection="1">
      <protection hidden="1"/>
    </xf>
    <xf numFmtId="0" fontId="4" fillId="0" borderId="11" xfId="0" applyFont="1" applyBorder="1" applyProtection="1">
      <protection hidden="1"/>
    </xf>
    <xf numFmtId="167" fontId="1" fillId="0" borderId="0" xfId="0" applyNumberFormat="1" applyFont="1" applyFill="1" applyBorder="1" applyProtection="1">
      <protection hidden="1"/>
    </xf>
    <xf numFmtId="0" fontId="4" fillId="0" borderId="0" xfId="0" applyFont="1" applyFill="1" applyBorder="1" applyProtection="1">
      <protection hidden="1"/>
    </xf>
    <xf numFmtId="9" fontId="1" fillId="0" borderId="0" xfId="0" applyNumberFormat="1" applyFont="1" applyFill="1" applyBorder="1" applyProtection="1">
      <protection hidden="1"/>
    </xf>
    <xf numFmtId="0" fontId="19" fillId="0" borderId="0" xfId="0" applyFont="1" applyFill="1" applyBorder="1" applyProtection="1">
      <protection hidden="1"/>
    </xf>
    <xf numFmtId="0" fontId="8" fillId="0" borderId="5" xfId="0" applyFont="1" applyFill="1" applyBorder="1" applyAlignment="1" applyProtection="1">
      <protection hidden="1"/>
    </xf>
    <xf numFmtId="0" fontId="20" fillId="0" borderId="7" xfId="0" applyFont="1" applyBorder="1" applyProtection="1">
      <protection hidden="1"/>
    </xf>
    <xf numFmtId="0" fontId="21" fillId="0" borderId="0" xfId="0" applyFont="1" applyProtection="1">
      <protection hidden="1"/>
    </xf>
    <xf numFmtId="0" fontId="20" fillId="0" borderId="8" xfId="0" applyFont="1" applyBorder="1" applyProtection="1">
      <protection hidden="1"/>
    </xf>
    <xf numFmtId="0" fontId="1" fillId="0" borderId="8" xfId="0" applyFont="1" applyBorder="1" applyProtection="1">
      <protection hidden="1"/>
    </xf>
    <xf numFmtId="0" fontId="8" fillId="0" borderId="5" xfId="0" applyFont="1" applyBorder="1" applyProtection="1">
      <protection hidden="1"/>
    </xf>
    <xf numFmtId="0" fontId="8" fillId="0" borderId="5" xfId="0" applyFont="1" applyBorder="1" applyAlignment="1" applyProtection="1">
      <alignment horizontal="center"/>
      <protection hidden="1"/>
    </xf>
    <xf numFmtId="0" fontId="8" fillId="0" borderId="5" xfId="0" applyFont="1" applyBorder="1" applyAlignment="1" applyProtection="1">
      <alignment wrapText="1"/>
      <protection hidden="1"/>
    </xf>
    <xf numFmtId="0" fontId="8" fillId="0" borderId="5" xfId="0" applyFont="1" applyBorder="1" applyAlignment="1" applyProtection="1">
      <protection hidden="1"/>
    </xf>
    <xf numFmtId="0" fontId="2" fillId="0" borderId="5" xfId="0" applyFont="1" applyBorder="1" applyAlignment="1" applyProtection="1">
      <alignment wrapText="1"/>
      <protection hidden="1"/>
    </xf>
    <xf numFmtId="0" fontId="16" fillId="0" borderId="5" xfId="0" applyFont="1" applyBorder="1" applyAlignment="1" applyProtection="1">
      <alignment wrapText="1"/>
      <protection hidden="1"/>
    </xf>
    <xf numFmtId="0" fontId="8" fillId="0" borderId="12" xfId="0" applyFont="1" applyFill="1" applyBorder="1" applyAlignment="1" applyProtection="1">
      <alignment horizontal="center" wrapText="1"/>
      <protection hidden="1"/>
    </xf>
    <xf numFmtId="0" fontId="8" fillId="0" borderId="12" xfId="0" applyFont="1" applyBorder="1" applyAlignment="1" applyProtection="1">
      <alignment wrapText="1"/>
      <protection hidden="1"/>
    </xf>
    <xf numFmtId="0" fontId="3" fillId="0" borderId="0" xfId="0" applyFont="1" applyFill="1" applyBorder="1" applyAlignment="1" applyProtection="1">
      <protection hidden="1"/>
    </xf>
    <xf numFmtId="0" fontId="3" fillId="0" borderId="0" xfId="0" applyFont="1" applyFill="1" applyBorder="1" applyAlignment="1" applyProtection="1">
      <alignment wrapText="1"/>
      <protection hidden="1"/>
    </xf>
    <xf numFmtId="0" fontId="0" fillId="0" borderId="0" xfId="0" applyFill="1" applyBorder="1" applyAlignment="1" applyProtection="1">
      <alignment wrapText="1"/>
      <protection hidden="1"/>
    </xf>
    <xf numFmtId="0" fontId="3" fillId="0" borderId="0" xfId="0" applyFont="1" applyFill="1" applyBorder="1" applyAlignment="1" applyProtection="1">
      <alignment horizontal="center" wrapText="1"/>
      <protection hidden="1"/>
    </xf>
    <xf numFmtId="0" fontId="0" fillId="3" borderId="1" xfId="0" applyFill="1" applyBorder="1" applyProtection="1">
      <protection hidden="1"/>
    </xf>
    <xf numFmtId="0" fontId="2" fillId="0" borderId="1" xfId="0" applyFont="1" applyBorder="1" applyAlignment="1" applyProtection="1">
      <alignment horizontal="center"/>
      <protection hidden="1"/>
    </xf>
    <xf numFmtId="0" fontId="2" fillId="3" borderId="1" xfId="0" applyFont="1" applyFill="1" applyBorder="1" applyAlignment="1" applyProtection="1">
      <alignment horizontal="center"/>
      <protection hidden="1"/>
    </xf>
    <xf numFmtId="9" fontId="2" fillId="3" borderId="1" xfId="0" applyNumberFormat="1" applyFont="1" applyFill="1" applyBorder="1" applyAlignment="1" applyProtection="1">
      <alignment horizontal="center"/>
      <protection hidden="1"/>
    </xf>
    <xf numFmtId="0" fontId="2" fillId="2" borderId="11" xfId="0" applyFont="1" applyFill="1" applyBorder="1" applyAlignment="1" applyProtection="1">
      <protection hidden="1"/>
    </xf>
    <xf numFmtId="0" fontId="2" fillId="0" borderId="0" xfId="0" applyFont="1" applyFill="1" applyBorder="1" applyAlignment="1" applyProtection="1">
      <protection hidden="1"/>
    </xf>
    <xf numFmtId="0" fontId="3" fillId="0" borderId="0" xfId="0" applyFont="1" applyFill="1" applyBorder="1" applyAlignment="1" applyProtection="1">
      <alignment horizontal="center"/>
      <protection hidden="1"/>
    </xf>
    <xf numFmtId="0" fontId="8" fillId="4" borderId="1" xfId="0" applyFont="1" applyFill="1" applyBorder="1" applyAlignment="1" applyProtection="1">
      <alignment horizontal="center" wrapText="1"/>
      <protection hidden="1"/>
    </xf>
    <xf numFmtId="0" fontId="8" fillId="4" borderId="1" xfId="0" applyFont="1" applyFill="1" applyBorder="1" applyAlignment="1" applyProtection="1">
      <alignment wrapText="1"/>
      <protection hidden="1"/>
    </xf>
    <xf numFmtId="0" fontId="2" fillId="4" borderId="1" xfId="0" applyFont="1" applyFill="1" applyBorder="1" applyAlignment="1" applyProtection="1">
      <alignment wrapText="1"/>
      <protection hidden="1"/>
    </xf>
    <xf numFmtId="0" fontId="16" fillId="4" borderId="1" xfId="0" applyFont="1" applyFill="1" applyBorder="1" applyAlignment="1" applyProtection="1">
      <alignment wrapText="1"/>
      <protection hidden="1"/>
    </xf>
    <xf numFmtId="0" fontId="17" fillId="4" borderId="1" xfId="0" applyFont="1" applyFill="1" applyBorder="1" applyProtection="1">
      <protection hidden="1"/>
    </xf>
    <xf numFmtId="0" fontId="8" fillId="4" borderId="1" xfId="0" applyFont="1" applyFill="1" applyBorder="1"/>
    <xf numFmtId="0" fontId="8" fillId="4" borderId="1" xfId="0" applyFont="1" applyFill="1" applyBorder="1" applyProtection="1">
      <protection hidden="1"/>
    </xf>
    <xf numFmtId="0" fontId="11" fillId="0" borderId="13" xfId="0" applyFont="1" applyBorder="1" applyAlignment="1" applyProtection="1">
      <alignment horizontal="center"/>
      <protection hidden="1"/>
    </xf>
    <xf numFmtId="0" fontId="8" fillId="0" borderId="13" xfId="0" applyFont="1" applyBorder="1" applyAlignment="1" applyProtection="1">
      <alignment wrapText="1"/>
      <protection hidden="1"/>
    </xf>
    <xf numFmtId="0" fontId="8" fillId="0" borderId="14" xfId="0" applyFont="1" applyBorder="1" applyAlignment="1" applyProtection="1">
      <alignment wrapText="1"/>
      <protection hidden="1"/>
    </xf>
    <xf numFmtId="0" fontId="8" fillId="0" borderId="15" xfId="0" applyFont="1" applyBorder="1" applyProtection="1">
      <protection hidden="1"/>
    </xf>
    <xf numFmtId="0" fontId="8" fillId="0" borderId="13" xfId="0" applyFont="1" applyBorder="1" applyProtection="1">
      <protection hidden="1"/>
    </xf>
    <xf numFmtId="0" fontId="11" fillId="0" borderId="0" xfId="0" applyFont="1" applyFill="1" applyBorder="1" applyAlignment="1" applyProtection="1">
      <alignment horizontal="center"/>
      <protection hidden="1"/>
    </xf>
    <xf numFmtId="0" fontId="23" fillId="0" borderId="0" xfId="0" applyFont="1" applyAlignment="1" applyProtection="1">
      <alignment vertical="center"/>
      <protection hidden="1"/>
    </xf>
    <xf numFmtId="0" fontId="24" fillId="0" borderId="0" xfId="0" applyFont="1" applyAlignment="1" applyProtection="1">
      <alignment horizontal="center"/>
      <protection hidden="1"/>
    </xf>
    <xf numFmtId="0" fontId="14" fillId="4" borderId="1" xfId="0" applyFont="1" applyFill="1" applyBorder="1" applyAlignment="1" applyProtection="1">
      <alignment horizontal="center"/>
      <protection locked="0" hidden="1"/>
    </xf>
    <xf numFmtId="0" fontId="14" fillId="0" borderId="0" xfId="0" applyFont="1" applyFill="1" applyBorder="1" applyAlignment="1" applyProtection="1">
      <protection hidden="1"/>
    </xf>
    <xf numFmtId="0" fontId="17" fillId="0" borderId="0" xfId="0" applyFont="1" applyFill="1" applyBorder="1" applyAlignment="1" applyProtection="1">
      <alignment horizontal="center" wrapText="1"/>
      <protection hidden="1"/>
    </xf>
    <xf numFmtId="0" fontId="14" fillId="0" borderId="0" xfId="0" applyFont="1" applyFill="1" applyBorder="1" applyAlignment="1" applyProtection="1">
      <alignment wrapText="1"/>
      <protection hidden="1"/>
    </xf>
    <xf numFmtId="0" fontId="15" fillId="0" borderId="0" xfId="0" applyFont="1" applyAlignment="1" applyProtection="1">
      <protection hidden="1"/>
    </xf>
    <xf numFmtId="0" fontId="25" fillId="0" borderId="0" xfId="0" applyFont="1" applyAlignment="1" applyProtection="1">
      <alignment vertical="center"/>
      <protection hidden="1"/>
    </xf>
    <xf numFmtId="0" fontId="17" fillId="4" borderId="1" xfId="0" applyFont="1" applyFill="1" applyBorder="1" applyAlignment="1" applyProtection="1">
      <alignment horizontal="right"/>
      <protection locked="0" hidden="1"/>
    </xf>
    <xf numFmtId="0" fontId="26" fillId="0" borderId="0" xfId="0" applyFont="1" applyAlignment="1" applyProtection="1">
      <alignment horizontal="left"/>
      <protection hidden="1"/>
    </xf>
    <xf numFmtId="0" fontId="27" fillId="0" borderId="0" xfId="0" applyFont="1" applyFill="1" applyProtection="1">
      <protection hidden="1"/>
    </xf>
    <xf numFmtId="0" fontId="14" fillId="0" borderId="0" xfId="0" applyFont="1" applyAlignment="1" applyProtection="1">
      <alignment vertical="center"/>
      <protection hidden="1"/>
    </xf>
    <xf numFmtId="0" fontId="14" fillId="0" borderId="16" xfId="0" applyFont="1" applyBorder="1" applyAlignment="1" applyProtection="1">
      <alignment vertical="center"/>
      <protection hidden="1"/>
    </xf>
    <xf numFmtId="0" fontId="17" fillId="0" borderId="17" xfId="0" applyFont="1" applyBorder="1" applyAlignment="1" applyProtection="1">
      <alignment vertical="center"/>
      <protection hidden="1"/>
    </xf>
    <xf numFmtId="0" fontId="14" fillId="0" borderId="17" xfId="0" applyFont="1" applyBorder="1" applyAlignment="1" applyProtection="1">
      <alignment vertical="center"/>
      <protection hidden="1"/>
    </xf>
    <xf numFmtId="0" fontId="14" fillId="0" borderId="18" xfId="0" applyFont="1" applyBorder="1" applyAlignment="1" applyProtection="1">
      <alignment vertical="center"/>
      <protection hidden="1"/>
    </xf>
    <xf numFmtId="0" fontId="15" fillId="0" borderId="0" xfId="0" applyFont="1" applyAlignment="1" applyProtection="1">
      <alignment vertical="center"/>
      <protection hidden="1"/>
    </xf>
    <xf numFmtId="0" fontId="14" fillId="0" borderId="19" xfId="0" applyFont="1" applyBorder="1" applyProtection="1">
      <protection hidden="1"/>
    </xf>
    <xf numFmtId="49" fontId="14" fillId="0" borderId="0" xfId="0" applyNumberFormat="1" applyFont="1" applyBorder="1" applyProtection="1">
      <protection hidden="1"/>
    </xf>
    <xf numFmtId="0" fontId="14" fillId="0" borderId="0" xfId="0" applyFont="1" applyBorder="1" applyProtection="1">
      <protection hidden="1"/>
    </xf>
    <xf numFmtId="168" fontId="17" fillId="4" borderId="1" xfId="0" applyNumberFormat="1" applyFont="1" applyFill="1" applyBorder="1" applyAlignment="1" applyProtection="1">
      <alignment horizontal="right"/>
      <protection locked="0" hidden="1"/>
    </xf>
    <xf numFmtId="0" fontId="26" fillId="0" borderId="0" xfId="0" applyFont="1" applyBorder="1" applyAlignment="1" applyProtection="1">
      <alignment horizontal="left"/>
      <protection hidden="1"/>
    </xf>
    <xf numFmtId="0" fontId="26" fillId="0" borderId="20" xfId="0" applyFont="1" applyBorder="1" applyAlignment="1" applyProtection="1">
      <alignment horizontal="left"/>
      <protection hidden="1"/>
    </xf>
    <xf numFmtId="167" fontId="17" fillId="4" borderId="1" xfId="0" applyNumberFormat="1" applyFont="1" applyFill="1" applyBorder="1" applyAlignment="1" applyProtection="1">
      <alignment horizontal="right"/>
      <protection locked="0" hidden="1"/>
    </xf>
    <xf numFmtId="0" fontId="14" fillId="0" borderId="20" xfId="0" applyFont="1" applyBorder="1" applyProtection="1">
      <protection hidden="1"/>
    </xf>
    <xf numFmtId="0" fontId="14" fillId="0" borderId="21" xfId="0" applyFont="1" applyBorder="1" applyProtection="1">
      <protection hidden="1"/>
    </xf>
    <xf numFmtId="0" fontId="14" fillId="0" borderId="22" xfId="0" applyFont="1" applyBorder="1" applyProtection="1">
      <protection hidden="1"/>
    </xf>
    <xf numFmtId="0" fontId="14" fillId="0" borderId="23" xfId="0" applyFont="1" applyBorder="1" applyProtection="1">
      <protection hidden="1"/>
    </xf>
    <xf numFmtId="49" fontId="14" fillId="0" borderId="0" xfId="0" applyNumberFormat="1" applyFont="1" applyProtection="1">
      <protection hidden="1"/>
    </xf>
    <xf numFmtId="49" fontId="14" fillId="0" borderId="16" xfId="0" applyNumberFormat="1" applyFont="1" applyBorder="1" applyAlignment="1" applyProtection="1">
      <alignment vertical="center"/>
      <protection hidden="1"/>
    </xf>
    <xf numFmtId="0" fontId="28" fillId="0" borderId="17" xfId="0" applyFont="1" applyFill="1" applyBorder="1" applyAlignment="1" applyProtection="1">
      <alignment horizontal="center" vertical="center"/>
      <protection hidden="1"/>
    </xf>
    <xf numFmtId="167" fontId="17" fillId="0" borderId="17" xfId="0" applyNumberFormat="1" applyFont="1" applyFill="1" applyBorder="1" applyAlignment="1" applyProtection="1">
      <alignment vertical="center"/>
      <protection hidden="1"/>
    </xf>
    <xf numFmtId="0" fontId="14" fillId="0" borderId="18" xfId="0" applyFont="1" applyBorder="1" applyAlignment="1" applyProtection="1">
      <alignment horizontal="center" vertical="center"/>
      <protection hidden="1"/>
    </xf>
    <xf numFmtId="49" fontId="14" fillId="0" borderId="19" xfId="0" applyNumberFormat="1" applyFont="1" applyBorder="1" applyProtection="1">
      <protection hidden="1"/>
    </xf>
    <xf numFmtId="0" fontId="15" fillId="0" borderId="0" xfId="0" applyFont="1" applyBorder="1" applyAlignment="1" applyProtection="1">
      <protection hidden="1"/>
    </xf>
    <xf numFmtId="0" fontId="14" fillId="0" borderId="21" xfId="0" applyFont="1" applyFill="1" applyBorder="1" applyProtection="1">
      <protection hidden="1"/>
    </xf>
    <xf numFmtId="0" fontId="14" fillId="0" borderId="22" xfId="0" applyFont="1" applyFill="1" applyBorder="1" applyProtection="1">
      <protection hidden="1"/>
    </xf>
    <xf numFmtId="167" fontId="17" fillId="0" borderId="22" xfId="0" applyNumberFormat="1" applyFont="1" applyFill="1" applyBorder="1" applyProtection="1">
      <protection hidden="1"/>
    </xf>
    <xf numFmtId="0" fontId="14" fillId="0" borderId="23" xfId="0" applyFont="1" applyFill="1" applyBorder="1" applyAlignment="1" applyProtection="1">
      <alignment horizontal="center"/>
      <protection hidden="1"/>
    </xf>
    <xf numFmtId="0" fontId="15" fillId="0" borderId="0" xfId="0" applyFont="1" applyFill="1" applyAlignment="1" applyProtection="1">
      <protection hidden="1"/>
    </xf>
    <xf numFmtId="167" fontId="17" fillId="0" borderId="0" xfId="0" applyNumberFormat="1" applyFont="1" applyFill="1" applyBorder="1" applyProtection="1">
      <protection hidden="1"/>
    </xf>
    <xf numFmtId="0" fontId="14" fillId="0" borderId="0" xfId="0" applyFont="1" applyFill="1" applyAlignment="1" applyProtection="1">
      <alignment horizontal="center"/>
      <protection hidden="1"/>
    </xf>
    <xf numFmtId="0" fontId="15" fillId="0" borderId="0" xfId="0" applyFont="1" applyFill="1" applyBorder="1" applyAlignment="1" applyProtection="1">
      <protection hidden="1"/>
    </xf>
    <xf numFmtId="0" fontId="14" fillId="0" borderId="0" xfId="0" applyFont="1" applyAlignment="1" applyProtection="1">
      <protection hidden="1"/>
    </xf>
    <xf numFmtId="0" fontId="29" fillId="0" borderId="0" xfId="0" applyFont="1" applyFill="1" applyBorder="1" applyAlignment="1" applyProtection="1">
      <protection hidden="1"/>
    </xf>
    <xf numFmtId="0" fontId="14" fillId="0" borderId="16" xfId="0" applyFont="1" applyFill="1" applyBorder="1" applyAlignment="1" applyProtection="1">
      <alignment horizontal="left"/>
      <protection hidden="1"/>
    </xf>
    <xf numFmtId="49" fontId="14" fillId="0" borderId="17" xfId="0" applyNumberFormat="1" applyFont="1" applyFill="1" applyBorder="1" applyAlignment="1" applyProtection="1">
      <alignment horizontal="left"/>
      <protection hidden="1"/>
    </xf>
    <xf numFmtId="0" fontId="14" fillId="0" borderId="17" xfId="0" applyFont="1" applyFill="1" applyBorder="1" applyAlignment="1" applyProtection="1">
      <alignment horizontal="left"/>
      <protection hidden="1"/>
    </xf>
    <xf numFmtId="9" fontId="17" fillId="0" borderId="17" xfId="0" applyNumberFormat="1" applyFont="1" applyFill="1" applyBorder="1" applyAlignment="1" applyProtection="1">
      <alignment horizontal="left"/>
      <protection hidden="1"/>
    </xf>
    <xf numFmtId="0" fontId="14" fillId="0" borderId="18" xfId="0" applyFont="1" applyFill="1" applyBorder="1" applyAlignment="1" applyProtection="1">
      <alignment horizontal="left"/>
      <protection hidden="1"/>
    </xf>
    <xf numFmtId="0" fontId="17" fillId="0" borderId="0" xfId="0" applyFont="1" applyBorder="1" applyProtection="1">
      <protection hidden="1"/>
    </xf>
    <xf numFmtId="49" fontId="30" fillId="0" borderId="0" xfId="0" applyNumberFormat="1" applyFont="1" applyFill="1" applyBorder="1" applyAlignment="1" applyProtection="1">
      <alignment horizontal="left" vertical="center"/>
      <protection hidden="1"/>
    </xf>
    <xf numFmtId="0" fontId="30" fillId="0" borderId="0" xfId="0" applyFont="1" applyFill="1" applyBorder="1" applyAlignment="1" applyProtection="1">
      <alignment horizontal="left" vertical="center"/>
      <protection hidden="1"/>
    </xf>
    <xf numFmtId="0" fontId="14" fillId="0" borderId="0" xfId="0" applyFont="1" applyFill="1" applyBorder="1" applyAlignment="1" applyProtection="1">
      <alignment horizontal="left"/>
      <protection hidden="1"/>
    </xf>
    <xf numFmtId="0" fontId="14" fillId="0" borderId="20" xfId="0" applyFont="1" applyFill="1" applyBorder="1" applyAlignment="1" applyProtection="1">
      <alignment horizontal="left"/>
      <protection hidden="1"/>
    </xf>
    <xf numFmtId="0" fontId="17" fillId="4" borderId="1" xfId="0" applyFont="1" applyFill="1" applyBorder="1" applyProtection="1">
      <protection locked="0" hidden="1"/>
    </xf>
    <xf numFmtId="0" fontId="26" fillId="0" borderId="0" xfId="0" applyFont="1" applyBorder="1" applyProtection="1">
      <protection hidden="1"/>
    </xf>
    <xf numFmtId="3" fontId="17" fillId="5" borderId="1" xfId="0" applyNumberFormat="1" applyFont="1" applyFill="1" applyBorder="1" applyProtection="1">
      <protection hidden="1"/>
    </xf>
    <xf numFmtId="2" fontId="17" fillId="5" borderId="1" xfId="0" applyNumberFormat="1" applyFont="1" applyFill="1" applyBorder="1" applyProtection="1">
      <protection hidden="1"/>
    </xf>
    <xf numFmtId="0" fontId="14" fillId="0" borderId="22" xfId="0" applyFont="1" applyFill="1" applyBorder="1" applyAlignment="1" applyProtection="1">
      <alignment horizontal="left"/>
      <protection hidden="1"/>
    </xf>
    <xf numFmtId="0" fontId="14" fillId="0" borderId="23" xfId="0" applyFont="1" applyFill="1" applyBorder="1" applyAlignment="1" applyProtection="1">
      <alignment horizontal="left"/>
      <protection hidden="1"/>
    </xf>
    <xf numFmtId="0" fontId="31" fillId="0" borderId="0" xfId="0" applyFont="1" applyFill="1" applyBorder="1" applyAlignment="1" applyProtection="1">
      <alignment horizontal="left"/>
      <protection hidden="1"/>
    </xf>
    <xf numFmtId="0" fontId="26" fillId="0" borderId="0" xfId="0" applyFont="1" applyProtection="1">
      <protection hidden="1"/>
    </xf>
    <xf numFmtId="0" fontId="27" fillId="0" borderId="0" xfId="0" applyFont="1" applyFill="1" applyBorder="1" applyAlignment="1" applyProtection="1">
      <alignment horizontal="left"/>
      <protection hidden="1"/>
    </xf>
    <xf numFmtId="0" fontId="3" fillId="5" borderId="1" xfId="0" applyFont="1" applyFill="1" applyBorder="1" applyAlignment="1" applyProtection="1">
      <alignment horizontal="center"/>
      <protection hidden="1"/>
    </xf>
    <xf numFmtId="0" fontId="8" fillId="5" borderId="1" xfId="0" applyFont="1" applyFill="1" applyBorder="1" applyAlignment="1" applyProtection="1">
      <alignment vertical="center" wrapText="1"/>
      <protection hidden="1"/>
    </xf>
    <xf numFmtId="0" fontId="8" fillId="5" borderId="1" xfId="0" applyFont="1" applyFill="1" applyBorder="1" applyAlignment="1" applyProtection="1">
      <alignment wrapText="1"/>
      <protection hidden="1"/>
    </xf>
    <xf numFmtId="0" fontId="8" fillId="5" borderId="1" xfId="0" applyFont="1" applyFill="1" applyBorder="1" applyProtection="1">
      <protection hidden="1"/>
    </xf>
    <xf numFmtId="0" fontId="17" fillId="5" borderId="1" xfId="0" applyFont="1" applyFill="1" applyBorder="1" applyProtection="1">
      <protection hidden="1"/>
    </xf>
    <xf numFmtId="0" fontId="8" fillId="5" borderId="1" xfId="0" applyFont="1" applyFill="1" applyBorder="1"/>
    <xf numFmtId="0" fontId="29" fillId="5" borderId="24" xfId="0" applyFont="1" applyFill="1" applyBorder="1" applyAlignment="1" applyProtection="1">
      <alignment horizontal="center" wrapText="1"/>
      <protection hidden="1"/>
    </xf>
    <xf numFmtId="0" fontId="22" fillId="6" borderId="25" xfId="0" applyFont="1" applyFill="1" applyBorder="1" applyAlignment="1" applyProtection="1">
      <alignment horizontal="center" wrapText="1"/>
      <protection hidden="1"/>
    </xf>
    <xf numFmtId="0" fontId="14" fillId="0" borderId="1" xfId="0" applyFont="1" applyBorder="1" applyProtection="1">
      <protection hidden="1"/>
    </xf>
    <xf numFmtId="0" fontId="17" fillId="0" borderId="1" xfId="0" applyFont="1" applyBorder="1" applyAlignment="1" applyProtection="1">
      <alignment horizontal="center"/>
      <protection hidden="1"/>
    </xf>
    <xf numFmtId="0" fontId="14" fillId="0" borderId="0" xfId="0" applyFont="1" applyBorder="1" applyAlignment="1" applyProtection="1">
      <protection hidden="1"/>
    </xf>
    <xf numFmtId="170" fontId="17" fillId="0" borderId="0" xfId="0" applyNumberFormat="1" applyFont="1" applyBorder="1" applyAlignment="1" applyProtection="1">
      <protection hidden="1"/>
    </xf>
    <xf numFmtId="0" fontId="14" fillId="0" borderId="0" xfId="0" applyFont="1" applyBorder="1" applyAlignment="1" applyProtection="1">
      <alignment horizontal="right"/>
      <protection hidden="1"/>
    </xf>
    <xf numFmtId="0" fontId="14" fillId="0" borderId="0" xfId="0" applyFont="1" applyFill="1" applyBorder="1" applyAlignment="1" applyProtection="1">
      <alignment horizontal="right"/>
      <protection hidden="1"/>
    </xf>
    <xf numFmtId="0" fontId="14" fillId="0" borderId="0" xfId="0" applyFont="1" applyFill="1" applyBorder="1" applyAlignment="1" applyProtection="1">
      <alignment horizontal="center"/>
      <protection hidden="1"/>
    </xf>
    <xf numFmtId="0" fontId="17" fillId="0" borderId="0" xfId="0" applyFont="1" applyBorder="1" applyAlignment="1" applyProtection="1">
      <alignment horizontal="center"/>
      <protection hidden="1"/>
    </xf>
    <xf numFmtId="4" fontId="17" fillId="0" borderId="0" xfId="0" applyNumberFormat="1" applyFont="1" applyBorder="1" applyAlignment="1" applyProtection="1">
      <alignment horizontal="right"/>
      <protection hidden="1"/>
    </xf>
    <xf numFmtId="0" fontId="17" fillId="4" borderId="1" xfId="0" quotePrefix="1" applyFont="1" applyFill="1" applyBorder="1" applyAlignment="1" applyProtection="1">
      <alignment horizontal="center"/>
      <protection locked="0" hidden="1"/>
    </xf>
    <xf numFmtId="0" fontId="17" fillId="0" borderId="0" xfId="0" quotePrefix="1" applyFont="1" applyFill="1" applyBorder="1" applyAlignment="1" applyProtection="1">
      <alignment horizontal="center"/>
      <protection hidden="1"/>
    </xf>
    <xf numFmtId="0" fontId="17" fillId="0" borderId="0" xfId="0" applyFont="1" applyBorder="1" applyAlignment="1" applyProtection="1">
      <protection hidden="1"/>
    </xf>
    <xf numFmtId="7" fontId="17" fillId="0" borderId="0" xfId="1" applyNumberFormat="1" applyFont="1" applyBorder="1" applyAlignment="1" applyProtection="1">
      <protection hidden="1"/>
    </xf>
    <xf numFmtId="0" fontId="17" fillId="0" borderId="0" xfId="0" applyFont="1" applyAlignment="1" applyProtection="1">
      <alignment horizontal="right"/>
      <protection hidden="1"/>
    </xf>
    <xf numFmtId="9" fontId="17" fillId="4" borderId="1" xfId="0" applyNumberFormat="1" applyFont="1" applyFill="1" applyBorder="1" applyProtection="1">
      <protection locked="0" hidden="1"/>
    </xf>
    <xf numFmtId="0" fontId="35" fillId="5" borderId="1" xfId="0" applyFont="1" applyFill="1" applyBorder="1" applyProtection="1">
      <protection hidden="1"/>
    </xf>
    <xf numFmtId="0" fontId="35" fillId="5" borderId="1" xfId="0" applyFont="1" applyFill="1" applyBorder="1" applyAlignment="1" applyProtection="1">
      <alignment horizontal="center"/>
      <protection hidden="1"/>
    </xf>
    <xf numFmtId="4" fontId="17" fillId="0" borderId="0" xfId="0" applyNumberFormat="1" applyFont="1" applyFill="1" applyBorder="1" applyAlignment="1" applyProtection="1">
      <protection hidden="1"/>
    </xf>
    <xf numFmtId="0" fontId="29" fillId="0" borderId="0" xfId="0" applyFont="1" applyProtection="1">
      <protection hidden="1"/>
    </xf>
    <xf numFmtId="0" fontId="36" fillId="0" borderId="0" xfId="0" applyFont="1" applyAlignment="1" applyProtection="1">
      <alignment vertical="center"/>
      <protection hidden="1"/>
    </xf>
    <xf numFmtId="0" fontId="29" fillId="0" borderId="0" xfId="0" applyFont="1" applyFill="1" applyBorder="1" applyProtection="1">
      <protection hidden="1"/>
    </xf>
    <xf numFmtId="0" fontId="29" fillId="0" borderId="0" xfId="0" applyFont="1" applyBorder="1" applyProtection="1">
      <protection hidden="1"/>
    </xf>
    <xf numFmtId="0" fontId="29" fillId="0" borderId="3" xfId="0" applyFont="1" applyBorder="1" applyProtection="1">
      <protection hidden="1"/>
    </xf>
    <xf numFmtId="0" fontId="29" fillId="0" borderId="4" xfId="0" applyFont="1" applyBorder="1" applyProtection="1">
      <protection hidden="1"/>
    </xf>
    <xf numFmtId="0" fontId="29" fillId="0" borderId="9" xfId="0" applyFont="1" applyBorder="1" applyProtection="1">
      <protection hidden="1"/>
    </xf>
    <xf numFmtId="0" fontId="29" fillId="0" borderId="5" xfId="0" applyFont="1" applyBorder="1" applyProtection="1">
      <protection hidden="1"/>
    </xf>
    <xf numFmtId="0" fontId="36" fillId="0" borderId="0" xfId="0" applyFont="1" applyBorder="1" applyProtection="1">
      <protection hidden="1"/>
    </xf>
    <xf numFmtId="0" fontId="29" fillId="0" borderId="10" xfId="0" applyFont="1" applyBorder="1" applyProtection="1">
      <protection hidden="1"/>
    </xf>
    <xf numFmtId="0" fontId="36" fillId="0" borderId="0" xfId="0" applyFont="1" applyFill="1" applyBorder="1" applyProtection="1">
      <protection hidden="1"/>
    </xf>
    <xf numFmtId="0" fontId="36" fillId="4" borderId="1" xfId="0" applyFont="1" applyFill="1" applyBorder="1" applyAlignment="1" applyProtection="1">
      <alignment horizontal="center"/>
      <protection locked="0" hidden="1"/>
    </xf>
    <xf numFmtId="0" fontId="36" fillId="0" borderId="10" xfId="0" applyFont="1" applyFill="1" applyBorder="1" applyAlignment="1" applyProtection="1">
      <alignment horizontal="center"/>
      <protection hidden="1"/>
    </xf>
    <xf numFmtId="0" fontId="36" fillId="0" borderId="1" xfId="0" applyFont="1" applyFill="1" applyBorder="1" applyAlignment="1" applyProtection="1">
      <alignment horizontal="center"/>
      <protection hidden="1"/>
    </xf>
    <xf numFmtId="0" fontId="36" fillId="5" borderId="1" xfId="0" applyFont="1" applyFill="1" applyBorder="1" applyAlignment="1" applyProtection="1">
      <alignment horizontal="center"/>
      <protection hidden="1"/>
    </xf>
    <xf numFmtId="0" fontId="29" fillId="0" borderId="10" xfId="0" applyFont="1" applyFill="1" applyBorder="1" applyProtection="1">
      <protection hidden="1"/>
    </xf>
    <xf numFmtId="9" fontId="36" fillId="0" borderId="1" xfId="0" applyNumberFormat="1" applyFont="1" applyFill="1" applyBorder="1" applyAlignment="1" applyProtection="1">
      <alignment horizontal="center"/>
      <protection hidden="1"/>
    </xf>
    <xf numFmtId="0" fontId="29" fillId="0" borderId="6" xfId="0" applyFont="1" applyBorder="1" applyProtection="1">
      <protection hidden="1"/>
    </xf>
    <xf numFmtId="0" fontId="29" fillId="0" borderId="7" xfId="0" applyFont="1" applyFill="1" applyBorder="1" applyProtection="1">
      <protection hidden="1"/>
    </xf>
    <xf numFmtId="0" fontId="29" fillId="0" borderId="11" xfId="0" applyFont="1" applyFill="1" applyBorder="1" applyProtection="1">
      <protection hidden="1"/>
    </xf>
    <xf numFmtId="0" fontId="29" fillId="0" borderId="5" xfId="0" applyFont="1" applyFill="1" applyBorder="1" applyAlignment="1" applyProtection="1">
      <protection hidden="1"/>
    </xf>
    <xf numFmtId="0" fontId="36" fillId="0" borderId="0" xfId="0" applyFont="1" applyProtection="1">
      <protection hidden="1"/>
    </xf>
    <xf numFmtId="0" fontId="36" fillId="0" borderId="10" xfId="0" applyFont="1" applyFill="1" applyBorder="1" applyAlignment="1" applyProtection="1">
      <protection hidden="1"/>
    </xf>
    <xf numFmtId="2" fontId="36" fillId="5" borderId="1" xfId="0" applyNumberFormat="1" applyFont="1" applyFill="1" applyBorder="1" applyAlignment="1" applyProtection="1">
      <alignment horizontal="center"/>
      <protection hidden="1"/>
    </xf>
    <xf numFmtId="0" fontId="29" fillId="0" borderId="6" xfId="0" applyFont="1" applyFill="1" applyBorder="1" applyAlignment="1" applyProtection="1">
      <protection hidden="1"/>
    </xf>
    <xf numFmtId="0" fontId="29" fillId="0" borderId="7" xfId="0" applyFont="1" applyFill="1" applyBorder="1" applyAlignment="1" applyProtection="1">
      <protection hidden="1"/>
    </xf>
    <xf numFmtId="0" fontId="29" fillId="0" borderId="11" xfId="0" applyFont="1" applyFill="1" applyBorder="1" applyAlignment="1" applyProtection="1">
      <protection hidden="1"/>
    </xf>
    <xf numFmtId="0" fontId="29" fillId="0" borderId="10" xfId="0" applyFont="1" applyFill="1" applyBorder="1" applyAlignment="1" applyProtection="1">
      <protection hidden="1"/>
    </xf>
    <xf numFmtId="0" fontId="36" fillId="0" borderId="0" xfId="0" applyFont="1" applyFill="1" applyBorder="1" applyAlignment="1" applyProtection="1">
      <alignment horizontal="center"/>
      <protection hidden="1"/>
    </xf>
    <xf numFmtId="3" fontId="36" fillId="0" borderId="1" xfId="0" applyNumberFormat="1" applyFont="1" applyFill="1" applyBorder="1" applyAlignment="1" applyProtection="1">
      <alignment horizontal="center"/>
      <protection hidden="1"/>
    </xf>
    <xf numFmtId="0" fontId="29" fillId="0" borderId="7" xfId="0" applyFont="1" applyBorder="1" applyProtection="1">
      <protection hidden="1"/>
    </xf>
    <xf numFmtId="0" fontId="29" fillId="0" borderId="11" xfId="0" applyFont="1" applyBorder="1" applyProtection="1">
      <protection hidden="1"/>
    </xf>
    <xf numFmtId="0" fontId="14" fillId="0" borderId="0" xfId="0" applyFont="1" applyBorder="1" applyAlignment="1" applyProtection="1">
      <alignment horizontal="center"/>
      <protection hidden="1"/>
    </xf>
    <xf numFmtId="4" fontId="14" fillId="4" borderId="1" xfId="0" applyNumberFormat="1" applyFont="1" applyFill="1" applyBorder="1" applyProtection="1">
      <protection locked="0"/>
    </xf>
    <xf numFmtId="2" fontId="0" fillId="0" borderId="3" xfId="0" applyNumberFormat="1" applyFill="1" applyBorder="1" applyProtection="1">
      <protection hidden="1"/>
    </xf>
    <xf numFmtId="0" fontId="0" fillId="0" borderId="9" xfId="0" applyBorder="1" applyProtection="1">
      <protection hidden="1"/>
    </xf>
    <xf numFmtId="2" fontId="0" fillId="0" borderId="5" xfId="0" applyNumberFormat="1" applyFill="1" applyBorder="1" applyProtection="1">
      <protection hidden="1"/>
    </xf>
    <xf numFmtId="0" fontId="0" fillId="0" borderId="10" xfId="0" applyBorder="1" applyProtection="1">
      <protection hidden="1"/>
    </xf>
    <xf numFmtId="2" fontId="0" fillId="0" borderId="0" xfId="0" applyNumberFormat="1" applyBorder="1" applyProtection="1">
      <protection hidden="1"/>
    </xf>
    <xf numFmtId="0" fontId="0" fillId="0" borderId="11" xfId="0" applyBorder="1" applyProtection="1">
      <protection hidden="1"/>
    </xf>
    <xf numFmtId="0" fontId="37" fillId="0" borderId="0" xfId="0" applyFont="1" applyProtection="1">
      <protection hidden="1"/>
    </xf>
    <xf numFmtId="0" fontId="28" fillId="0" borderId="0" xfId="0" applyFont="1" applyFill="1" applyBorder="1" applyAlignment="1" applyProtection="1">
      <alignment horizontal="center" vertical="center"/>
      <protection hidden="1"/>
    </xf>
    <xf numFmtId="0" fontId="3" fillId="5" borderId="26" xfId="0" applyFont="1" applyFill="1" applyBorder="1" applyAlignment="1" applyProtection="1">
      <alignment horizontal="center"/>
      <protection hidden="1"/>
    </xf>
    <xf numFmtId="0" fontId="8" fillId="5" borderId="26" xfId="0" applyFont="1" applyFill="1" applyBorder="1"/>
    <xf numFmtId="0" fontId="8" fillId="4" borderId="26" xfId="0" applyFont="1" applyFill="1" applyBorder="1"/>
    <xf numFmtId="0" fontId="8" fillId="0" borderId="0" xfId="0" applyFont="1" applyFill="1" applyBorder="1"/>
    <xf numFmtId="0" fontId="4" fillId="7" borderId="9" xfId="0" applyNumberFormat="1" applyFont="1" applyFill="1" applyBorder="1" applyProtection="1">
      <protection hidden="1"/>
    </xf>
    <xf numFmtId="1" fontId="4" fillId="7" borderId="10" xfId="0" applyNumberFormat="1" applyFont="1" applyFill="1" applyBorder="1" applyProtection="1">
      <protection hidden="1"/>
    </xf>
    <xf numFmtId="2" fontId="8" fillId="7" borderId="10" xfId="0" applyNumberFormat="1" applyFont="1" applyFill="1" applyBorder="1" applyAlignment="1" applyProtection="1">
      <alignment horizontal="center"/>
      <protection hidden="1"/>
    </xf>
    <xf numFmtId="167" fontId="4" fillId="7" borderId="10" xfId="0" applyNumberFormat="1" applyFont="1" applyFill="1" applyBorder="1" applyProtection="1">
      <protection hidden="1"/>
    </xf>
    <xf numFmtId="166" fontId="17" fillId="5" borderId="1" xfId="0" applyNumberFormat="1" applyFont="1" applyFill="1" applyBorder="1" applyProtection="1">
      <protection hidden="1"/>
    </xf>
    <xf numFmtId="2" fontId="36" fillId="4" borderId="1" xfId="0" applyNumberFormat="1" applyFont="1" applyFill="1" applyBorder="1" applyAlignment="1" applyProtection="1">
      <alignment horizontal="center"/>
      <protection locked="0" hidden="1"/>
    </xf>
    <xf numFmtId="0" fontId="4" fillId="8" borderId="10" xfId="0" applyFont="1" applyFill="1" applyBorder="1" applyProtection="1">
      <protection hidden="1"/>
    </xf>
    <xf numFmtId="0" fontId="8" fillId="8" borderId="12" xfId="0" applyFont="1" applyFill="1" applyBorder="1" applyAlignment="1" applyProtection="1">
      <alignment wrapText="1"/>
      <protection hidden="1"/>
    </xf>
    <xf numFmtId="0" fontId="2" fillId="2" borderId="6" xfId="0" applyFont="1" applyFill="1" applyBorder="1" applyAlignment="1" applyProtection="1">
      <protection locked="0" hidden="1"/>
    </xf>
    <xf numFmtId="0" fontId="2" fillId="2" borderId="11" xfId="0" applyFont="1" applyFill="1" applyBorder="1" applyAlignment="1" applyProtection="1">
      <protection locked="0" hidden="1"/>
    </xf>
    <xf numFmtId="0" fontId="8" fillId="0" borderId="0" xfId="0" applyFont="1" applyFill="1" applyBorder="1" applyAlignment="1" applyProtection="1">
      <alignment horizontal="center" wrapText="1"/>
      <protection locked="0" hidden="1"/>
    </xf>
    <xf numFmtId="0" fontId="8" fillId="5" borderId="1" xfId="0" applyFont="1" applyFill="1" applyBorder="1" applyAlignment="1" applyProtection="1">
      <alignment horizontal="center" wrapText="1"/>
      <protection locked="0" hidden="1"/>
    </xf>
    <xf numFmtId="0" fontId="8" fillId="5" borderId="1" xfId="0" applyFont="1" applyFill="1" applyBorder="1" applyAlignment="1" applyProtection="1">
      <alignment wrapText="1"/>
      <protection locked="0" hidden="1"/>
    </xf>
    <xf numFmtId="0" fontId="2" fillId="5" borderId="1" xfId="0" applyFont="1" applyFill="1" applyBorder="1" applyAlignment="1" applyProtection="1">
      <alignment wrapText="1"/>
      <protection locked="0" hidden="1"/>
    </xf>
    <xf numFmtId="0" fontId="16" fillId="5" borderId="1" xfId="0" applyFont="1" applyFill="1" applyBorder="1" applyAlignment="1" applyProtection="1">
      <alignment wrapText="1"/>
      <protection locked="0" hidden="1"/>
    </xf>
    <xf numFmtId="0" fontId="17" fillId="5" borderId="1" xfId="0" applyFont="1" applyFill="1" applyBorder="1" applyProtection="1">
      <protection locked="0" hidden="1"/>
    </xf>
    <xf numFmtId="0" fontId="8" fillId="5" borderId="1" xfId="0" applyFont="1" applyFill="1" applyBorder="1" applyProtection="1">
      <protection locked="0"/>
    </xf>
    <xf numFmtId="0" fontId="8" fillId="5" borderId="1" xfId="0" applyFont="1" applyFill="1" applyBorder="1" applyProtection="1">
      <protection locked="0" hidden="1"/>
    </xf>
    <xf numFmtId="0" fontId="8" fillId="5" borderId="26" xfId="0" applyFont="1" applyFill="1" applyBorder="1" applyProtection="1">
      <protection locked="0"/>
    </xf>
    <xf numFmtId="0" fontId="8" fillId="0" borderId="0" xfId="0" applyFont="1" applyFill="1" applyBorder="1" applyProtection="1">
      <protection locked="0"/>
    </xf>
    <xf numFmtId="0" fontId="8" fillId="8" borderId="12" xfId="0" applyFont="1" applyFill="1" applyBorder="1" applyAlignment="1" applyProtection="1">
      <alignment wrapText="1"/>
      <protection locked="0" hidden="1"/>
    </xf>
    <xf numFmtId="0" fontId="8" fillId="0" borderId="0" xfId="0" applyFont="1" applyBorder="1" applyAlignment="1" applyProtection="1">
      <alignment wrapText="1"/>
      <protection locked="0" hidden="1"/>
    </xf>
    <xf numFmtId="0" fontId="8" fillId="0" borderId="0" xfId="0" applyFont="1" applyFill="1" applyBorder="1" applyAlignment="1" applyProtection="1">
      <alignment wrapText="1"/>
      <protection locked="0" hidden="1"/>
    </xf>
    <xf numFmtId="0" fontId="8" fillId="0" borderId="13" xfId="0" applyFont="1" applyBorder="1" applyAlignment="1" applyProtection="1">
      <alignment wrapText="1"/>
      <protection locked="0" hidden="1"/>
    </xf>
    <xf numFmtId="0" fontId="0" fillId="0" borderId="0" xfId="0" applyAlignment="1">
      <alignment horizontal="center"/>
    </xf>
    <xf numFmtId="0" fontId="0" fillId="0" borderId="1" xfId="0" applyBorder="1"/>
    <xf numFmtId="0" fontId="3" fillId="0" borderId="1" xfId="0" applyFont="1" applyBorder="1" applyAlignment="1">
      <alignment horizontal="center"/>
    </xf>
    <xf numFmtId="0" fontId="3" fillId="0" borderId="0" xfId="0" applyFont="1" applyAlignment="1">
      <alignment horizontal="center"/>
    </xf>
    <xf numFmtId="0" fontId="8" fillId="0" borderId="0" xfId="0" applyFont="1"/>
    <xf numFmtId="0" fontId="8" fillId="0" borderId="1" xfId="0" applyFont="1" applyBorder="1"/>
    <xf numFmtId="0" fontId="40" fillId="0" borderId="68" xfId="0" applyFont="1" applyBorder="1" applyAlignment="1">
      <alignment horizontal="center" vertical="center" wrapText="1"/>
    </xf>
    <xf numFmtId="0" fontId="54" fillId="0" borderId="1" xfId="0" applyFont="1" applyBorder="1"/>
    <xf numFmtId="0" fontId="55" fillId="0" borderId="1" xfId="0" applyFont="1" applyBorder="1" applyAlignment="1">
      <alignment horizontal="center"/>
    </xf>
    <xf numFmtId="0" fontId="8" fillId="0" borderId="0" xfId="0" applyFont="1" applyFill="1" applyBorder="1" applyAlignment="1" applyProtection="1">
      <alignment horizontal="right"/>
      <protection hidden="1"/>
    </xf>
    <xf numFmtId="0" fontId="56" fillId="0" borderId="1" xfId="0" applyFont="1" applyBorder="1" applyAlignment="1">
      <alignment horizontal="center" vertical="center"/>
    </xf>
    <xf numFmtId="0" fontId="57" fillId="0" borderId="1" xfId="0" applyFont="1" applyBorder="1" applyAlignment="1">
      <alignment horizontal="center"/>
    </xf>
    <xf numFmtId="0" fontId="58" fillId="0" borderId="1" xfId="0" applyFont="1" applyBorder="1" applyAlignment="1">
      <alignment horizontal="center" vertical="center" wrapText="1"/>
    </xf>
    <xf numFmtId="0" fontId="57" fillId="0" borderId="1" xfId="0" applyFont="1" applyFill="1" applyBorder="1" applyAlignment="1">
      <alignment horizontal="center"/>
    </xf>
    <xf numFmtId="0" fontId="40" fillId="0" borderId="0" xfId="0" applyFont="1" applyBorder="1" applyAlignment="1">
      <alignment horizontal="center" vertical="center"/>
    </xf>
    <xf numFmtId="0" fontId="59" fillId="0" borderId="1" xfId="0" applyFont="1" applyBorder="1" applyAlignment="1">
      <alignment horizontal="center" vertical="center"/>
    </xf>
    <xf numFmtId="0" fontId="60" fillId="0" borderId="1" xfId="0" applyFont="1" applyBorder="1" applyAlignment="1">
      <alignment horizontal="center" vertical="center"/>
    </xf>
    <xf numFmtId="0" fontId="61" fillId="0" borderId="1" xfId="0" applyFont="1" applyBorder="1" applyAlignment="1">
      <alignment horizontal="center"/>
    </xf>
    <xf numFmtId="0" fontId="62" fillId="0" borderId="1" xfId="0" applyFont="1" applyBorder="1" applyAlignment="1">
      <alignment horizontal="center" vertical="center" wrapText="1"/>
    </xf>
    <xf numFmtId="0" fontId="8" fillId="10" borderId="0" xfId="0" applyFont="1" applyFill="1" applyBorder="1" applyAlignment="1" applyProtection="1">
      <alignment horizontal="left"/>
      <protection hidden="1"/>
    </xf>
    <xf numFmtId="0" fontId="62" fillId="0" borderId="1" xfId="0" applyFont="1" applyFill="1" applyBorder="1" applyAlignment="1">
      <alignment horizontal="center" vertical="center" wrapText="1"/>
    </xf>
    <xf numFmtId="0" fontId="3" fillId="0" borderId="0" xfId="0" applyFont="1" applyFill="1" applyBorder="1" applyAlignment="1" applyProtection="1">
      <alignment horizontal="left"/>
      <protection hidden="1"/>
    </xf>
    <xf numFmtId="0" fontId="63" fillId="0" borderId="0" xfId="0" applyFont="1"/>
    <xf numFmtId="0" fontId="64" fillId="0" borderId="0" xfId="0" applyFont="1" applyProtection="1">
      <protection hidden="1"/>
    </xf>
    <xf numFmtId="0" fontId="0" fillId="0" borderId="1" xfId="0" applyBorder="1" applyAlignment="1">
      <alignment horizontal="left"/>
    </xf>
    <xf numFmtId="0" fontId="57" fillId="0" borderId="1" xfId="0" applyFont="1" applyBorder="1" applyAlignment="1">
      <alignment horizontal="left"/>
    </xf>
    <xf numFmtId="0" fontId="55" fillId="10" borderId="1" xfId="0" applyFont="1" applyFill="1" applyBorder="1" applyAlignment="1">
      <alignment horizontal="center"/>
    </xf>
    <xf numFmtId="0" fontId="61" fillId="0" borderId="1" xfId="0" applyFont="1" applyFill="1" applyBorder="1" applyAlignment="1">
      <alignment horizontal="center" vertical="center"/>
    </xf>
    <xf numFmtId="0" fontId="61" fillId="0" borderId="1" xfId="0" applyFont="1" applyBorder="1" applyAlignment="1">
      <alignment horizontal="center" vertical="center"/>
    </xf>
    <xf numFmtId="0" fontId="65" fillId="10" borderId="0" xfId="0" applyFont="1" applyFill="1" applyBorder="1" applyAlignment="1" applyProtection="1">
      <alignment horizontal="right" vertical="center"/>
      <protection hidden="1"/>
    </xf>
    <xf numFmtId="167" fontId="8" fillId="0" borderId="0" xfId="0" applyNumberFormat="1" applyFont="1"/>
    <xf numFmtId="167" fontId="0" fillId="0" borderId="0" xfId="0" applyNumberFormat="1"/>
    <xf numFmtId="0" fontId="8" fillId="0" borderId="1" xfId="0" applyFont="1" applyBorder="1" applyProtection="1">
      <protection hidden="1"/>
    </xf>
    <xf numFmtId="0" fontId="8" fillId="11" borderId="1" xfId="0" applyFont="1" applyFill="1" applyBorder="1" applyProtection="1">
      <protection hidden="1"/>
    </xf>
    <xf numFmtId="0" fontId="8" fillId="0" borderId="0" xfId="0" applyFont="1" applyAlignment="1">
      <alignment horizontal="center"/>
    </xf>
    <xf numFmtId="1" fontId="0" fillId="0" borderId="0" xfId="0" applyNumberFormat="1"/>
    <xf numFmtId="0" fontId="0" fillId="12" borderId="0" xfId="0" applyFill="1"/>
    <xf numFmtId="0" fontId="8" fillId="0" borderId="0" xfId="0" applyFont="1" applyAlignment="1">
      <alignment horizontal="center" vertical="center"/>
    </xf>
    <xf numFmtId="0" fontId="0" fillId="0" borderId="0" xfId="0" applyAlignment="1">
      <alignment horizontal="center" vertical="center"/>
    </xf>
    <xf numFmtId="0" fontId="8" fillId="12" borderId="0" xfId="0" applyFont="1" applyFill="1"/>
    <xf numFmtId="0" fontId="66" fillId="0" borderId="69" xfId="0" applyFont="1" applyBorder="1" applyProtection="1">
      <protection hidden="1"/>
    </xf>
    <xf numFmtId="0" fontId="4" fillId="0" borderId="70" xfId="0" applyFont="1" applyBorder="1" applyProtection="1">
      <protection hidden="1"/>
    </xf>
    <xf numFmtId="0" fontId="0" fillId="0" borderId="70" xfId="0" applyBorder="1"/>
    <xf numFmtId="0" fontId="0" fillId="12" borderId="70" xfId="0" applyFill="1" applyBorder="1"/>
    <xf numFmtId="0" fontId="0" fillId="12" borderId="71" xfId="0" applyFill="1" applyBorder="1"/>
    <xf numFmtId="0" fontId="66" fillId="0" borderId="72" xfId="0" applyFont="1" applyBorder="1" applyProtection="1">
      <protection hidden="1"/>
    </xf>
    <xf numFmtId="0" fontId="4" fillId="0" borderId="73" xfId="0" applyFont="1" applyBorder="1" applyProtection="1">
      <protection hidden="1"/>
    </xf>
    <xf numFmtId="0" fontId="0" fillId="0" borderId="73" xfId="0" applyBorder="1"/>
    <xf numFmtId="0" fontId="0" fillId="12" borderId="73" xfId="0" applyFill="1" applyBorder="1"/>
    <xf numFmtId="0" fontId="0" fillId="12" borderId="74" xfId="0" applyFill="1" applyBorder="1"/>
    <xf numFmtId="0" fontId="67" fillId="0" borderId="72" xfId="0" applyFont="1" applyBorder="1" applyProtection="1">
      <protection hidden="1"/>
    </xf>
    <xf numFmtId="0" fontId="68" fillId="0" borderId="72" xfId="0" applyFont="1" applyBorder="1" applyProtection="1">
      <protection hidden="1"/>
    </xf>
    <xf numFmtId="0" fontId="4" fillId="0" borderId="75" xfId="0" applyFont="1" applyBorder="1" applyProtection="1">
      <protection hidden="1"/>
    </xf>
    <xf numFmtId="0" fontId="0" fillId="0" borderId="75" xfId="0" applyBorder="1"/>
    <xf numFmtId="0" fontId="0" fillId="12" borderId="75" xfId="0" applyFill="1" applyBorder="1"/>
    <xf numFmtId="0" fontId="4" fillId="0" borderId="76" xfId="0" applyFont="1" applyBorder="1" applyProtection="1">
      <protection hidden="1"/>
    </xf>
    <xf numFmtId="0" fontId="0" fillId="0" borderId="76" xfId="0" applyBorder="1"/>
    <xf numFmtId="0" fontId="0" fillId="12" borderId="76" xfId="0" applyFill="1" applyBorder="1"/>
    <xf numFmtId="0" fontId="4" fillId="0" borderId="77" xfId="0" applyFont="1" applyBorder="1" applyProtection="1">
      <protection hidden="1"/>
    </xf>
    <xf numFmtId="0" fontId="0" fillId="0" borderId="77" xfId="0" applyBorder="1"/>
    <xf numFmtId="0" fontId="0" fillId="12" borderId="77" xfId="0" applyFill="1" applyBorder="1"/>
    <xf numFmtId="0" fontId="0" fillId="12" borderId="78" xfId="0" applyFill="1" applyBorder="1"/>
    <xf numFmtId="0" fontId="0" fillId="12" borderId="79" xfId="0" applyFill="1" applyBorder="1"/>
    <xf numFmtId="0" fontId="66" fillId="0" borderId="80" xfId="0" applyFont="1" applyBorder="1" applyProtection="1">
      <protection hidden="1"/>
    </xf>
    <xf numFmtId="0" fontId="4" fillId="0" borderId="81" xfId="0" applyFont="1" applyBorder="1" applyProtection="1">
      <protection hidden="1"/>
    </xf>
    <xf numFmtId="0" fontId="0" fillId="0" borderId="81" xfId="0" applyBorder="1"/>
    <xf numFmtId="0" fontId="0" fillId="12" borderId="81" xfId="0" applyFill="1" applyBorder="1"/>
    <xf numFmtId="0" fontId="0" fillId="12" borderId="82" xfId="0" applyFill="1" applyBorder="1"/>
    <xf numFmtId="0" fontId="66" fillId="0" borderId="83" xfId="0" applyFont="1" applyBorder="1" applyProtection="1">
      <protection hidden="1"/>
    </xf>
    <xf numFmtId="0" fontId="0" fillId="12" borderId="84" xfId="0" applyFill="1" applyBorder="1"/>
    <xf numFmtId="0" fontId="67" fillId="0" borderId="83" xfId="0" applyFont="1" applyBorder="1" applyProtection="1">
      <protection hidden="1"/>
    </xf>
    <xf numFmtId="0" fontId="68" fillId="0" borderId="83" xfId="0" applyFont="1" applyBorder="1" applyProtection="1">
      <protection hidden="1"/>
    </xf>
    <xf numFmtId="0" fontId="4" fillId="0" borderId="85" xfId="0" applyFont="1" applyBorder="1" applyProtection="1">
      <protection hidden="1"/>
    </xf>
    <xf numFmtId="0" fontId="4" fillId="0" borderId="83" xfId="0" applyFont="1" applyBorder="1" applyProtection="1">
      <protection hidden="1"/>
    </xf>
    <xf numFmtId="0" fontId="2" fillId="0" borderId="86" xfId="0" applyFont="1" applyBorder="1" applyProtection="1">
      <protection hidden="1"/>
    </xf>
    <xf numFmtId="0" fontId="4" fillId="0" borderId="78" xfId="0" applyFont="1" applyBorder="1" applyProtection="1">
      <protection hidden="1"/>
    </xf>
    <xf numFmtId="0" fontId="0" fillId="0" borderId="78" xfId="0" applyBorder="1"/>
    <xf numFmtId="0" fontId="0" fillId="12" borderId="87" xfId="0" applyFill="1" applyBorder="1"/>
    <xf numFmtId="0" fontId="4" fillId="0" borderId="86" xfId="0" applyFont="1" applyBorder="1" applyProtection="1">
      <protection hidden="1"/>
    </xf>
    <xf numFmtId="0" fontId="14" fillId="10" borderId="1" xfId="0" applyFont="1" applyFill="1" applyBorder="1" applyProtection="1">
      <protection hidden="1"/>
    </xf>
    <xf numFmtId="0" fontId="0" fillId="13" borderId="0" xfId="0" applyFill="1"/>
    <xf numFmtId="0" fontId="8" fillId="13" borderId="0" xfId="0" applyFont="1" applyFill="1"/>
    <xf numFmtId="0" fontId="54" fillId="13" borderId="0" xfId="0" applyFont="1" applyFill="1"/>
    <xf numFmtId="0" fontId="0" fillId="14" borderId="0" xfId="0" applyFill="1" applyProtection="1">
      <protection hidden="1"/>
    </xf>
    <xf numFmtId="0" fontId="4" fillId="14" borderId="0" xfId="0" applyFont="1" applyFill="1" applyAlignment="1" applyProtection="1">
      <protection hidden="1"/>
    </xf>
    <xf numFmtId="0" fontId="0" fillId="10" borderId="0" xfId="0" applyFill="1" applyProtection="1">
      <protection hidden="1"/>
    </xf>
    <xf numFmtId="0" fontId="69" fillId="10" borderId="0" xfId="0" applyFont="1" applyFill="1" applyProtection="1">
      <protection hidden="1"/>
    </xf>
    <xf numFmtId="0" fontId="0" fillId="0" borderId="0" xfId="0" applyFont="1" applyProtection="1">
      <protection hidden="1"/>
    </xf>
    <xf numFmtId="0" fontId="4" fillId="10" borderId="0" xfId="0" applyFont="1" applyFill="1" applyAlignment="1" applyProtection="1">
      <protection hidden="1"/>
    </xf>
    <xf numFmtId="0" fontId="12" fillId="10" borderId="0" xfId="0" applyFont="1" applyFill="1" applyProtection="1">
      <protection hidden="1"/>
    </xf>
    <xf numFmtId="0" fontId="8" fillId="10" borderId="0" xfId="0" applyFont="1" applyFill="1" applyProtection="1">
      <protection hidden="1"/>
    </xf>
    <xf numFmtId="0" fontId="66" fillId="10" borderId="0" xfId="0" applyFont="1" applyFill="1" applyAlignment="1" applyProtection="1">
      <protection hidden="1"/>
    </xf>
    <xf numFmtId="0" fontId="70" fillId="10" borderId="0" xfId="0" applyFont="1" applyFill="1" applyAlignment="1" applyProtection="1">
      <protection hidden="1"/>
    </xf>
    <xf numFmtId="0" fontId="71" fillId="10" borderId="0" xfId="0" applyFont="1" applyFill="1" applyAlignment="1" applyProtection="1">
      <protection hidden="1"/>
    </xf>
    <xf numFmtId="0" fontId="17" fillId="10" borderId="1" xfId="0" applyFont="1" applyFill="1" applyBorder="1" applyAlignment="1" applyProtection="1">
      <alignment horizontal="center"/>
      <protection hidden="1"/>
    </xf>
    <xf numFmtId="0" fontId="2" fillId="0" borderId="88" xfId="0" applyFont="1" applyBorder="1" applyProtection="1">
      <protection hidden="1"/>
    </xf>
    <xf numFmtId="0" fontId="2" fillId="0" borderId="89" xfId="0" applyFont="1" applyBorder="1" applyProtection="1">
      <protection hidden="1"/>
    </xf>
    <xf numFmtId="0" fontId="2" fillId="0" borderId="72" xfId="0" applyFont="1" applyBorder="1" applyProtection="1">
      <protection hidden="1"/>
    </xf>
    <xf numFmtId="0" fontId="2" fillId="0" borderId="90" xfId="0" applyFont="1" applyBorder="1" applyProtection="1">
      <protection hidden="1"/>
    </xf>
    <xf numFmtId="1" fontId="36" fillId="4" borderId="1" xfId="0" applyNumberFormat="1" applyFont="1" applyFill="1" applyBorder="1" applyAlignment="1" applyProtection="1">
      <alignment horizontal="center"/>
      <protection locked="0" hidden="1"/>
    </xf>
    <xf numFmtId="0" fontId="72" fillId="10" borderId="0" xfId="0" applyFont="1" applyFill="1" applyAlignment="1" applyProtection="1">
      <alignment vertical="center"/>
      <protection hidden="1"/>
    </xf>
    <xf numFmtId="0" fontId="22" fillId="10" borderId="0" xfId="0" applyFont="1" applyFill="1" applyAlignment="1" applyProtection="1">
      <alignment vertical="center"/>
      <protection hidden="1"/>
    </xf>
    <xf numFmtId="0" fontId="2" fillId="10" borderId="0" xfId="0" applyFont="1" applyFill="1" applyAlignment="1" applyProtection="1">
      <protection hidden="1"/>
    </xf>
    <xf numFmtId="0" fontId="15" fillId="10" borderId="0" xfId="0" applyFont="1" applyFill="1" applyAlignment="1" applyProtection="1">
      <protection hidden="1"/>
    </xf>
    <xf numFmtId="0" fontId="15" fillId="10" borderId="0" xfId="0" applyFont="1" applyFill="1" applyBorder="1" applyAlignment="1" applyProtection="1">
      <protection hidden="1"/>
    </xf>
    <xf numFmtId="0" fontId="14" fillId="10" borderId="0" xfId="0" applyFont="1" applyFill="1" applyAlignment="1" applyProtection="1">
      <protection hidden="1"/>
    </xf>
    <xf numFmtId="0" fontId="29" fillId="10" borderId="0" xfId="0" applyFont="1" applyFill="1" applyBorder="1" applyAlignment="1" applyProtection="1">
      <protection hidden="1"/>
    </xf>
    <xf numFmtId="0" fontId="2" fillId="14" borderId="0" xfId="0" applyFont="1" applyFill="1" applyAlignment="1" applyProtection="1">
      <protection hidden="1"/>
    </xf>
    <xf numFmtId="0" fontId="69" fillId="10" borderId="0" xfId="0" applyFont="1" applyFill="1" applyProtection="1">
      <protection locked="0"/>
    </xf>
    <xf numFmtId="0" fontId="73" fillId="0" borderId="0" xfId="0" applyFont="1" applyProtection="1">
      <protection hidden="1"/>
    </xf>
    <xf numFmtId="0" fontId="14" fillId="10" borderId="0" xfId="0" applyFont="1" applyFill="1" applyBorder="1" applyProtection="1">
      <protection hidden="1"/>
    </xf>
    <xf numFmtId="0" fontId="26" fillId="10" borderId="0" xfId="0" applyFont="1" applyFill="1" applyBorder="1" applyProtection="1">
      <protection hidden="1"/>
    </xf>
    <xf numFmtId="0" fontId="0" fillId="10" borderId="91" xfId="0" applyFill="1" applyBorder="1"/>
    <xf numFmtId="0" fontId="74" fillId="10" borderId="0" xfId="0" applyFont="1" applyFill="1" applyAlignment="1" applyProtection="1">
      <protection hidden="1"/>
    </xf>
    <xf numFmtId="0" fontId="75" fillId="10" borderId="0" xfId="0" applyFont="1" applyFill="1" applyProtection="1">
      <protection hidden="1"/>
    </xf>
    <xf numFmtId="0" fontId="76" fillId="10" borderId="0" xfId="0" applyFont="1" applyFill="1" applyAlignment="1" applyProtection="1">
      <protection hidden="1"/>
    </xf>
    <xf numFmtId="0" fontId="77" fillId="10" borderId="0" xfId="0" applyFont="1" applyFill="1" applyAlignment="1" applyProtection="1">
      <protection hidden="1"/>
    </xf>
    <xf numFmtId="0" fontId="78" fillId="10" borderId="0" xfId="0" applyFont="1" applyFill="1" applyProtection="1">
      <protection hidden="1"/>
    </xf>
    <xf numFmtId="0" fontId="79" fillId="10" borderId="0" xfId="0" applyFont="1" applyFill="1" applyAlignment="1" applyProtection="1">
      <alignment vertical="center"/>
      <protection hidden="1"/>
    </xf>
    <xf numFmtId="0" fontId="8" fillId="10" borderId="91" xfId="0" applyFont="1" applyFill="1" applyBorder="1"/>
    <xf numFmtId="0" fontId="80" fillId="15" borderId="92" xfId="0" applyFont="1" applyFill="1" applyBorder="1" applyAlignment="1">
      <alignment horizontal="center" vertical="center" wrapText="1"/>
    </xf>
    <xf numFmtId="0" fontId="80" fillId="15" borderId="93" xfId="0" applyFont="1" applyFill="1" applyBorder="1" applyAlignment="1">
      <alignment horizontal="center" vertical="center" wrapText="1"/>
    </xf>
    <xf numFmtId="0" fontId="80" fillId="15" borderId="94" xfId="0" applyFont="1" applyFill="1" applyBorder="1" applyAlignment="1">
      <alignment horizontal="center" vertical="center" wrapText="1"/>
    </xf>
    <xf numFmtId="0" fontId="81" fillId="0" borderId="1" xfId="0" applyFont="1" applyBorder="1" applyAlignment="1">
      <alignment horizontal="center"/>
    </xf>
    <xf numFmtId="0" fontId="81" fillId="0" borderId="0" xfId="0" applyFont="1"/>
    <xf numFmtId="0" fontId="82" fillId="0" borderId="1" xfId="0" applyFont="1" applyBorder="1" applyAlignment="1">
      <alignment vertical="center" wrapText="1"/>
    </xf>
    <xf numFmtId="0" fontId="82" fillId="0" borderId="2" xfId="0" applyFont="1" applyBorder="1" applyAlignment="1">
      <alignment vertical="center" wrapText="1"/>
    </xf>
    <xf numFmtId="0" fontId="83" fillId="0" borderId="1" xfId="0" applyFont="1" applyBorder="1"/>
    <xf numFmtId="0" fontId="81" fillId="0" borderId="2" xfId="0" applyFont="1" applyBorder="1" applyAlignment="1">
      <alignment horizontal="center"/>
    </xf>
    <xf numFmtId="0" fontId="81" fillId="0" borderId="25" xfId="0" applyFont="1" applyBorder="1" applyAlignment="1">
      <alignment horizontal="center"/>
    </xf>
    <xf numFmtId="0" fontId="81" fillId="0" borderId="12" xfId="0" applyFont="1" applyFill="1" applyBorder="1" applyAlignment="1">
      <alignment horizontal="center"/>
    </xf>
    <xf numFmtId="0" fontId="83" fillId="0" borderId="1" xfId="0" applyFont="1" applyBorder="1" applyAlignment="1">
      <alignment horizontal="center" vertical="center"/>
    </xf>
    <xf numFmtId="0" fontId="83" fillId="0" borderId="0" xfId="0" applyFont="1" applyAlignment="1">
      <alignment horizontal="center"/>
    </xf>
    <xf numFmtId="0" fontId="81" fillId="0" borderId="1" xfId="0" applyFont="1" applyBorder="1" applyAlignment="1">
      <alignment horizontal="center" vertical="center"/>
    </xf>
    <xf numFmtId="0" fontId="83" fillId="0" borderId="0" xfId="0" applyFont="1" applyBorder="1"/>
    <xf numFmtId="0" fontId="81" fillId="0" borderId="12" xfId="0" applyFont="1" applyBorder="1" applyAlignment="1">
      <alignment horizontal="center"/>
    </xf>
    <xf numFmtId="0" fontId="81" fillId="0" borderId="0" xfId="0" applyFont="1" applyFill="1" applyBorder="1" applyAlignment="1">
      <alignment horizontal="center"/>
    </xf>
    <xf numFmtId="0" fontId="84"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84" fillId="0" borderId="27" xfId="0" applyFont="1" applyBorder="1" applyAlignment="1">
      <alignment horizontal="center" vertical="center"/>
    </xf>
    <xf numFmtId="0" fontId="84" fillId="0" borderId="28" xfId="0" applyFont="1" applyBorder="1" applyAlignment="1">
      <alignment horizontal="center" vertical="center" wrapText="1"/>
    </xf>
    <xf numFmtId="0" fontId="40" fillId="0" borderId="29" xfId="0" applyFont="1" applyBorder="1" applyAlignment="1">
      <alignment horizontal="center" vertical="center"/>
    </xf>
    <xf numFmtId="0" fontId="84" fillId="0" borderId="30" xfId="0" applyFont="1" applyBorder="1" applyAlignment="1">
      <alignment horizontal="center" vertical="center"/>
    </xf>
    <xf numFmtId="0" fontId="40" fillId="0" borderId="31" xfId="0" applyFont="1" applyBorder="1" applyAlignment="1">
      <alignment horizontal="center" vertical="center"/>
    </xf>
    <xf numFmtId="0" fontId="84" fillId="0" borderId="32" xfId="0" applyFont="1" applyBorder="1" applyAlignment="1">
      <alignment horizontal="center" vertical="center"/>
    </xf>
    <xf numFmtId="0" fontId="40" fillId="0" borderId="33" xfId="0" applyFont="1" applyBorder="1" applyAlignment="1">
      <alignment horizontal="center" vertical="center" wrapText="1"/>
    </xf>
    <xf numFmtId="0" fontId="40" fillId="0" borderId="34" xfId="0" applyFont="1" applyBorder="1" applyAlignment="1">
      <alignment horizontal="center" vertical="center"/>
    </xf>
    <xf numFmtId="0" fontId="84" fillId="0" borderId="95" xfId="0" applyFont="1" applyBorder="1" applyAlignment="1">
      <alignment horizontal="center" vertical="center"/>
    </xf>
    <xf numFmtId="0" fontId="40" fillId="0" borderId="96" xfId="0" applyFont="1" applyBorder="1" applyAlignment="1">
      <alignment horizontal="center" vertical="center" wrapText="1"/>
    </xf>
    <xf numFmtId="0" fontId="40" fillId="0" borderId="97" xfId="0" applyFont="1" applyBorder="1" applyAlignment="1">
      <alignment horizontal="center" vertical="center"/>
    </xf>
    <xf numFmtId="0" fontId="84" fillId="0" borderId="98" xfId="0" applyFont="1" applyBorder="1" applyAlignment="1">
      <alignment horizontal="center" vertical="center"/>
    </xf>
    <xf numFmtId="0" fontId="40" fillId="0" borderId="99" xfId="0" applyFont="1" applyBorder="1" applyAlignment="1">
      <alignment horizontal="center" vertical="center"/>
    </xf>
    <xf numFmtId="0" fontId="84" fillId="0" borderId="100" xfId="0" applyFont="1" applyBorder="1" applyAlignment="1">
      <alignment horizontal="center" vertical="center"/>
    </xf>
    <xf numFmtId="0" fontId="40" fillId="0" borderId="101" xfId="0" applyFont="1" applyBorder="1" applyAlignment="1">
      <alignment horizontal="center" vertical="center" wrapText="1"/>
    </xf>
    <xf numFmtId="0" fontId="40" fillId="0" borderId="102" xfId="0" applyFont="1" applyBorder="1" applyAlignment="1">
      <alignment horizontal="center" vertical="center"/>
    </xf>
    <xf numFmtId="0" fontId="4" fillId="0" borderId="0" xfId="0" applyFont="1" applyFill="1" applyAlignment="1" applyProtection="1">
      <alignment horizontal="left"/>
      <protection hidden="1"/>
    </xf>
    <xf numFmtId="0" fontId="3" fillId="0" borderId="0" xfId="0" applyFont="1" applyFill="1" applyProtection="1">
      <protection hidden="1"/>
    </xf>
    <xf numFmtId="0" fontId="4" fillId="0" borderId="1" xfId="0" applyFont="1" applyFill="1" applyBorder="1" applyAlignment="1" applyProtection="1">
      <alignment horizontal="left"/>
      <protection hidden="1"/>
    </xf>
    <xf numFmtId="0" fontId="2" fillId="0" borderId="0" xfId="0" applyFont="1" applyFill="1" applyAlignment="1" applyProtection="1">
      <protection hidden="1"/>
    </xf>
    <xf numFmtId="0" fontId="12" fillId="0" borderId="0" xfId="0" applyFont="1" applyFill="1" applyProtection="1">
      <protection hidden="1"/>
    </xf>
    <xf numFmtId="0" fontId="2" fillId="0" borderId="1" xfId="0" applyFont="1" applyFill="1" applyBorder="1" applyAlignment="1" applyProtection="1">
      <alignment horizontal="left"/>
      <protection hidden="1"/>
    </xf>
    <xf numFmtId="2" fontId="2" fillId="0" borderId="0" xfId="0" applyNumberFormat="1" applyFont="1" applyFill="1" applyBorder="1" applyAlignment="1" applyProtection="1">
      <protection hidden="1"/>
    </xf>
    <xf numFmtId="166" fontId="2" fillId="0" borderId="0" xfId="0" applyNumberFormat="1" applyFont="1" applyFill="1" applyAlignment="1" applyProtection="1">
      <alignment horizontal="left"/>
      <protection hidden="1"/>
    </xf>
    <xf numFmtId="0" fontId="9" fillId="0" borderId="3" xfId="0" applyFont="1" applyFill="1" applyBorder="1" applyAlignment="1" applyProtection="1">
      <alignment horizontal="left"/>
      <protection hidden="1"/>
    </xf>
    <xf numFmtId="0" fontId="9" fillId="0" borderId="4" xfId="0" applyFont="1" applyFill="1" applyBorder="1" applyAlignment="1" applyProtection="1">
      <alignment horizontal="left"/>
      <protection hidden="1"/>
    </xf>
    <xf numFmtId="0" fontId="9" fillId="0" borderId="9" xfId="0" applyFont="1" applyFill="1" applyBorder="1" applyAlignment="1" applyProtection="1">
      <alignment horizontal="left"/>
      <protection hidden="1"/>
    </xf>
    <xf numFmtId="0" fontId="2" fillId="0" borderId="9" xfId="0" applyFont="1" applyFill="1" applyBorder="1" applyAlignment="1" applyProtection="1">
      <alignment horizontal="left"/>
      <protection hidden="1"/>
    </xf>
    <xf numFmtId="0" fontId="2" fillId="0" borderId="4" xfId="0" applyFont="1" applyFill="1" applyBorder="1" applyAlignment="1" applyProtection="1">
      <alignment horizontal="left"/>
      <protection hidden="1"/>
    </xf>
    <xf numFmtId="0" fontId="2" fillId="0" borderId="5" xfId="0" applyFont="1" applyFill="1" applyBorder="1" applyAlignment="1" applyProtection="1">
      <alignment horizontal="left"/>
      <protection hidden="1"/>
    </xf>
    <xf numFmtId="1" fontId="2" fillId="0" borderId="10" xfId="0" applyNumberFormat="1" applyFont="1" applyFill="1" applyBorder="1" applyAlignment="1" applyProtection="1">
      <alignment horizontal="left"/>
      <protection hidden="1"/>
    </xf>
    <xf numFmtId="1" fontId="2" fillId="0" borderId="0" xfId="0" applyNumberFormat="1" applyFont="1" applyFill="1" applyBorder="1" applyAlignment="1" applyProtection="1">
      <alignment horizontal="left"/>
      <protection hidden="1"/>
    </xf>
    <xf numFmtId="0" fontId="2" fillId="0" borderId="10" xfId="0" applyFont="1" applyFill="1" applyBorder="1" applyAlignment="1" applyProtection="1">
      <alignment horizontal="left"/>
      <protection hidden="1"/>
    </xf>
    <xf numFmtId="167" fontId="2" fillId="0" borderId="10" xfId="0" applyNumberFormat="1" applyFont="1" applyFill="1" applyBorder="1" applyAlignment="1" applyProtection="1">
      <alignment horizontal="left"/>
      <protection hidden="1"/>
    </xf>
    <xf numFmtId="166" fontId="2" fillId="0" borderId="10" xfId="0" applyNumberFormat="1" applyFont="1" applyFill="1" applyBorder="1" applyAlignment="1" applyProtection="1">
      <alignment horizontal="left"/>
      <protection hidden="1"/>
    </xf>
    <xf numFmtId="167" fontId="2" fillId="0" borderId="0" xfId="0" applyNumberFormat="1" applyFont="1" applyFill="1" applyBorder="1" applyAlignment="1" applyProtection="1">
      <alignment horizontal="left"/>
      <protection hidden="1"/>
    </xf>
    <xf numFmtId="0" fontId="2" fillId="0" borderId="6" xfId="0" applyFont="1" applyFill="1" applyBorder="1" applyAlignment="1" applyProtection="1">
      <alignment horizontal="left"/>
      <protection hidden="1"/>
    </xf>
    <xf numFmtId="0" fontId="2" fillId="0" borderId="7" xfId="0" applyFont="1" applyFill="1" applyBorder="1" applyAlignment="1" applyProtection="1">
      <alignment horizontal="left"/>
      <protection hidden="1"/>
    </xf>
    <xf numFmtId="0" fontId="2" fillId="0" borderId="11" xfId="0" applyFont="1" applyFill="1" applyBorder="1" applyAlignment="1" applyProtection="1">
      <alignment horizontal="left"/>
      <protection hidden="1"/>
    </xf>
    <xf numFmtId="165" fontId="2" fillId="0" borderId="7" xfId="0" applyNumberFormat="1" applyFont="1" applyFill="1" applyBorder="1" applyAlignment="1" applyProtection="1">
      <alignment horizontal="left"/>
      <protection hidden="1"/>
    </xf>
    <xf numFmtId="0" fontId="7" fillId="0" borderId="0" xfId="0" applyFont="1" applyFill="1" applyBorder="1" applyAlignment="1" applyProtection="1">
      <alignment horizontal="left"/>
      <protection hidden="1"/>
    </xf>
    <xf numFmtId="0" fontId="6" fillId="0" borderId="0" xfId="0" applyFont="1" applyFill="1" applyBorder="1" applyAlignment="1" applyProtection="1">
      <alignment horizontal="left"/>
      <protection hidden="1"/>
    </xf>
    <xf numFmtId="168" fontId="6" fillId="0" borderId="0" xfId="0" applyNumberFormat="1" applyFont="1" applyFill="1" applyBorder="1" applyAlignment="1" applyProtection="1">
      <alignment horizontal="left"/>
      <protection hidden="1"/>
    </xf>
    <xf numFmtId="165" fontId="2" fillId="0" borderId="0" xfId="0" applyNumberFormat="1" applyFont="1" applyFill="1" applyAlignment="1" applyProtection="1">
      <alignment horizontal="left"/>
      <protection hidden="1"/>
    </xf>
    <xf numFmtId="0" fontId="6" fillId="0" borderId="0" xfId="0" applyFont="1" applyFill="1" applyBorder="1" applyAlignment="1" applyProtection="1">
      <protection hidden="1"/>
    </xf>
    <xf numFmtId="165" fontId="6" fillId="0" borderId="0" xfId="0" applyNumberFormat="1" applyFont="1" applyFill="1" applyBorder="1" applyAlignment="1" applyProtection="1">
      <alignment horizontal="left"/>
      <protection hidden="1"/>
    </xf>
    <xf numFmtId="165" fontId="2" fillId="0" borderId="0" xfId="0" applyNumberFormat="1" applyFont="1" applyFill="1" applyBorder="1" applyAlignment="1" applyProtection="1">
      <alignment horizontal="left"/>
      <protection hidden="1"/>
    </xf>
    <xf numFmtId="165" fontId="4" fillId="0" borderId="0" xfId="0" applyNumberFormat="1" applyFont="1" applyFill="1" applyBorder="1" applyAlignment="1" applyProtection="1">
      <alignment horizontal="left"/>
      <protection hidden="1"/>
    </xf>
    <xf numFmtId="165" fontId="4" fillId="0" borderId="0" xfId="0" applyNumberFormat="1" applyFont="1" applyFill="1" applyAlignment="1" applyProtection="1">
      <alignment horizontal="left"/>
      <protection hidden="1"/>
    </xf>
    <xf numFmtId="167" fontId="6" fillId="0" borderId="0" xfId="0" applyNumberFormat="1" applyFont="1" applyFill="1" applyBorder="1" applyAlignment="1" applyProtection="1">
      <alignment horizontal="left"/>
      <protection hidden="1"/>
    </xf>
    <xf numFmtId="171" fontId="4" fillId="0" borderId="0" xfId="0" applyNumberFormat="1" applyFont="1" applyFill="1" applyAlignment="1" applyProtection="1">
      <alignment horizontal="left"/>
      <protection hidden="1"/>
    </xf>
    <xf numFmtId="0" fontId="8" fillId="0" borderId="0" xfId="0" applyFont="1" applyFill="1" applyAlignment="1" applyProtection="1">
      <protection hidden="1"/>
    </xf>
    <xf numFmtId="0" fontId="6" fillId="0" borderId="1" xfId="0" applyFont="1" applyFill="1" applyBorder="1" applyAlignment="1" applyProtection="1">
      <alignment horizontal="left"/>
      <protection hidden="1"/>
    </xf>
    <xf numFmtId="171" fontId="6" fillId="0" borderId="0" xfId="0" applyNumberFormat="1" applyFont="1" applyFill="1" applyBorder="1" applyAlignment="1" applyProtection="1">
      <alignment horizontal="left"/>
      <protection hidden="1"/>
    </xf>
    <xf numFmtId="1" fontId="6" fillId="0" borderId="0" xfId="0" applyNumberFormat="1" applyFont="1" applyFill="1" applyBorder="1" applyAlignment="1" applyProtection="1">
      <alignment horizontal="left"/>
      <protection hidden="1"/>
    </xf>
    <xf numFmtId="167" fontId="2" fillId="0" borderId="0" xfId="0" applyNumberFormat="1" applyFont="1" applyFill="1" applyAlignment="1" applyProtection="1">
      <alignment horizontal="left"/>
      <protection hidden="1"/>
    </xf>
    <xf numFmtId="166" fontId="7" fillId="0" borderId="0" xfId="0" applyNumberFormat="1" applyFont="1" applyFill="1" applyBorder="1" applyAlignment="1" applyProtection="1">
      <alignment horizontal="left"/>
      <protection hidden="1"/>
    </xf>
    <xf numFmtId="166" fontId="6" fillId="0" borderId="0" xfId="0" applyNumberFormat="1" applyFont="1" applyFill="1" applyBorder="1" applyAlignment="1" applyProtection="1">
      <alignment horizontal="left"/>
      <protection hidden="1"/>
    </xf>
    <xf numFmtId="167" fontId="4" fillId="0" borderId="0" xfId="0" applyNumberFormat="1" applyFont="1" applyFill="1" applyBorder="1" applyAlignment="1" applyProtection="1">
      <alignment horizontal="left"/>
      <protection hidden="1"/>
    </xf>
    <xf numFmtId="9" fontId="6" fillId="0" borderId="1" xfId="0" applyNumberFormat="1" applyFont="1" applyFill="1" applyBorder="1" applyAlignment="1" applyProtection="1">
      <alignment horizontal="left"/>
      <protection hidden="1"/>
    </xf>
    <xf numFmtId="0" fontId="5" fillId="0" borderId="0" xfId="0" applyFont="1" applyFill="1" applyBorder="1" applyAlignment="1" applyProtection="1">
      <protection hidden="1"/>
    </xf>
    <xf numFmtId="0" fontId="2" fillId="0" borderId="0" xfId="0" applyFont="1" applyFill="1" applyAlignment="1" applyProtection="1">
      <alignment horizontal="center"/>
      <protection hidden="1"/>
    </xf>
    <xf numFmtId="0" fontId="4" fillId="0" borderId="0" xfId="0" applyFont="1" applyFill="1" applyBorder="1" applyAlignment="1" applyProtection="1">
      <alignment horizontal="center"/>
      <protection hidden="1"/>
    </xf>
    <xf numFmtId="0" fontId="4" fillId="0" borderId="0" xfId="0" applyFont="1" applyFill="1" applyAlignment="1" applyProtection="1">
      <alignment horizontal="center"/>
      <protection hidden="1"/>
    </xf>
    <xf numFmtId="49" fontId="2" fillId="0" borderId="0" xfId="0" applyNumberFormat="1" applyFont="1" applyFill="1" applyBorder="1" applyAlignment="1" applyProtection="1">
      <alignment horizontal="left"/>
      <protection hidden="1"/>
    </xf>
    <xf numFmtId="0" fontId="9" fillId="0" borderId="0" xfId="0" applyFont="1" applyFill="1" applyBorder="1" applyAlignment="1" applyProtection="1">
      <alignment horizontal="left"/>
      <protection hidden="1"/>
    </xf>
    <xf numFmtId="0" fontId="3" fillId="0" borderId="0" xfId="0" applyFont="1" applyFill="1" applyBorder="1" applyProtection="1">
      <protection hidden="1"/>
    </xf>
    <xf numFmtId="0" fontId="2" fillId="0" borderId="24" xfId="0" applyFont="1" applyFill="1" applyBorder="1" applyAlignment="1" applyProtection="1">
      <alignment horizontal="left"/>
      <protection hidden="1"/>
    </xf>
    <xf numFmtId="0" fontId="2" fillId="0" borderId="1" xfId="0" applyFont="1" applyFill="1" applyBorder="1" applyAlignment="1" applyProtection="1">
      <alignment horizontal="center"/>
      <protection hidden="1"/>
    </xf>
    <xf numFmtId="0" fontId="9" fillId="0" borderId="0" xfId="0" applyFont="1" applyFill="1" applyAlignment="1" applyProtection="1">
      <alignment horizontal="left"/>
      <protection hidden="1"/>
    </xf>
    <xf numFmtId="0" fontId="8" fillId="0" borderId="0" xfId="0" applyFont="1" applyFill="1" applyProtection="1">
      <protection hidden="1"/>
    </xf>
    <xf numFmtId="49" fontId="2" fillId="0" borderId="0" xfId="0" applyNumberFormat="1" applyFont="1" applyFill="1" applyAlignment="1" applyProtection="1">
      <alignment horizontal="left"/>
      <protection hidden="1"/>
    </xf>
    <xf numFmtId="0" fontId="8" fillId="0" borderId="1" xfId="0" applyFont="1" applyFill="1" applyBorder="1" applyProtection="1">
      <protection hidden="1"/>
    </xf>
    <xf numFmtId="0" fontId="8" fillId="0" borderId="2" xfId="0" applyFont="1" applyFill="1" applyBorder="1" applyAlignment="1" applyProtection="1">
      <protection hidden="1"/>
    </xf>
    <xf numFmtId="0" fontId="8" fillId="0" borderId="35" xfId="0" applyFont="1" applyFill="1" applyBorder="1" applyAlignment="1" applyProtection="1">
      <protection hidden="1"/>
    </xf>
    <xf numFmtId="0" fontId="8" fillId="0" borderId="1" xfId="0" applyFont="1" applyFill="1" applyBorder="1" applyAlignment="1" applyProtection="1">
      <alignment horizontal="center"/>
      <protection hidden="1"/>
    </xf>
    <xf numFmtId="9" fontId="2" fillId="0" borderId="0" xfId="0" applyNumberFormat="1" applyFont="1" applyFill="1" applyBorder="1" applyAlignment="1" applyProtection="1">
      <alignment horizontal="left"/>
      <protection hidden="1"/>
    </xf>
    <xf numFmtId="0" fontId="2" fillId="0" borderId="1" xfId="0" applyFont="1" applyFill="1" applyBorder="1" applyAlignment="1" applyProtection="1">
      <alignment vertical="center"/>
      <protection hidden="1"/>
    </xf>
    <xf numFmtId="49" fontId="4" fillId="0" borderId="1" xfId="0" applyNumberFormat="1" applyFont="1" applyFill="1" applyBorder="1" applyAlignment="1" applyProtection="1">
      <alignment horizontal="left"/>
      <protection hidden="1"/>
    </xf>
    <xf numFmtId="0" fontId="8" fillId="0" borderId="1" xfId="0" applyFont="1" applyFill="1" applyBorder="1" applyAlignment="1" applyProtection="1">
      <alignment vertical="center" wrapText="1"/>
      <protection hidden="1"/>
    </xf>
    <xf numFmtId="0" fontId="8" fillId="0" borderId="1" xfId="0" applyFont="1" applyFill="1" applyBorder="1" applyAlignment="1" applyProtection="1">
      <alignment horizontal="center" textRotation="90"/>
      <protection hidden="1"/>
    </xf>
    <xf numFmtId="0" fontId="2" fillId="0" borderId="0" xfId="0" applyFont="1" applyFill="1" applyBorder="1" applyAlignment="1" applyProtection="1">
      <alignment horizontal="left" wrapText="1"/>
      <protection hidden="1"/>
    </xf>
    <xf numFmtId="0" fontId="2" fillId="0" borderId="0" xfId="0" applyFont="1" applyFill="1" applyBorder="1" applyAlignment="1" applyProtection="1">
      <alignment horizontal="left" textRotation="90"/>
      <protection hidden="1"/>
    </xf>
    <xf numFmtId="0" fontId="8" fillId="0" borderId="2" xfId="0" applyFont="1" applyFill="1" applyBorder="1" applyAlignment="1" applyProtection="1">
      <alignment horizontal="center"/>
      <protection hidden="1"/>
    </xf>
    <xf numFmtId="0" fontId="8" fillId="0" borderId="8" xfId="0" applyFont="1" applyFill="1" applyBorder="1" applyAlignment="1" applyProtection="1">
      <alignment horizontal="center"/>
      <protection hidden="1"/>
    </xf>
    <xf numFmtId="0" fontId="8" fillId="0" borderId="35" xfId="0" applyFont="1" applyFill="1" applyBorder="1" applyAlignment="1" applyProtection="1">
      <alignment horizontal="center"/>
      <protection hidden="1"/>
    </xf>
    <xf numFmtId="0" fontId="8" fillId="0" borderId="1" xfId="0" quotePrefix="1" applyFont="1" applyFill="1" applyBorder="1" applyProtection="1">
      <protection hidden="1"/>
    </xf>
    <xf numFmtId="0" fontId="12" fillId="0" borderId="1" xfId="0" applyFont="1" applyFill="1" applyBorder="1" applyAlignment="1" applyProtection="1">
      <alignment vertical="center" wrapText="1"/>
      <protection hidden="1"/>
    </xf>
    <xf numFmtId="0" fontId="12" fillId="0" borderId="1" xfId="0" applyFont="1" applyFill="1" applyBorder="1" applyAlignment="1" applyProtection="1">
      <alignment horizontal="center" textRotation="90"/>
      <protection hidden="1"/>
    </xf>
    <xf numFmtId="0" fontId="54" fillId="0" borderId="1" xfId="0" applyFont="1" applyFill="1" applyBorder="1" applyAlignment="1" applyProtection="1">
      <alignment horizontal="center" textRotation="90"/>
      <protection hidden="1"/>
    </xf>
    <xf numFmtId="0" fontId="12" fillId="0" borderId="1" xfId="0" applyFont="1" applyFill="1" applyBorder="1" applyProtection="1">
      <protection hidden="1"/>
    </xf>
    <xf numFmtId="0" fontId="12" fillId="0" borderId="1" xfId="0" applyFont="1" applyFill="1" applyBorder="1" applyAlignment="1" applyProtection="1">
      <alignment horizontal="center"/>
      <protection hidden="1"/>
    </xf>
    <xf numFmtId="0" fontId="12" fillId="0" borderId="2" xfId="0" applyFont="1" applyFill="1" applyBorder="1" applyAlignment="1" applyProtection="1">
      <alignment horizontal="center"/>
      <protection hidden="1"/>
    </xf>
    <xf numFmtId="0" fontId="12" fillId="0" borderId="8" xfId="0" applyFont="1" applyFill="1" applyBorder="1" applyAlignment="1" applyProtection="1">
      <alignment horizontal="center"/>
      <protection hidden="1"/>
    </xf>
    <xf numFmtId="0" fontId="12" fillId="0" borderId="35" xfId="0" applyFont="1" applyFill="1" applyBorder="1" applyAlignment="1" applyProtection="1">
      <alignment horizontal="center"/>
      <protection hidden="1"/>
    </xf>
    <xf numFmtId="0" fontId="12" fillId="0" borderId="1" xfId="0" quotePrefix="1" applyFont="1" applyFill="1" applyBorder="1" applyProtection="1">
      <protection hidden="1"/>
    </xf>
    <xf numFmtId="0" fontId="9" fillId="0" borderId="0" xfId="0" applyFont="1" applyFill="1" applyAlignment="1" applyProtection="1">
      <alignment horizontal="center"/>
      <protection hidden="1"/>
    </xf>
    <xf numFmtId="0" fontId="2" fillId="0" borderId="1" xfId="0" applyFont="1" applyFill="1" applyBorder="1" applyProtection="1">
      <protection hidden="1"/>
    </xf>
    <xf numFmtId="0" fontId="2" fillId="0" borderId="1" xfId="0" applyFont="1" applyFill="1" applyBorder="1" applyAlignment="1" applyProtection="1">
      <protection hidden="1"/>
    </xf>
    <xf numFmtId="0" fontId="4" fillId="0" borderId="0" xfId="0" applyFont="1" applyFill="1" applyAlignment="1" applyProtection="1">
      <protection hidden="1"/>
    </xf>
    <xf numFmtId="49" fontId="2" fillId="0" borderId="1" xfId="0" applyNumberFormat="1" applyFont="1" applyFill="1" applyBorder="1" applyAlignment="1" applyProtection="1">
      <alignment horizontal="left"/>
      <protection hidden="1"/>
    </xf>
    <xf numFmtId="0" fontId="2" fillId="0" borderId="12" xfId="0" applyFont="1" applyFill="1" applyBorder="1" applyAlignment="1" applyProtection="1">
      <alignment horizontal="center" vertical="center"/>
      <protection hidden="1"/>
    </xf>
    <xf numFmtId="0" fontId="46" fillId="0" borderId="0" xfId="0" applyFont="1" applyFill="1" applyAlignment="1" applyProtection="1">
      <alignment horizontal="left"/>
      <protection hidden="1"/>
    </xf>
    <xf numFmtId="166" fontId="47" fillId="0" borderId="0" xfId="0" applyNumberFormat="1" applyFont="1" applyFill="1" applyBorder="1" applyAlignment="1" applyProtection="1">
      <alignment horizontal="left"/>
      <protection hidden="1"/>
    </xf>
    <xf numFmtId="166" fontId="48" fillId="0" borderId="0" xfId="0" applyNumberFormat="1" applyFont="1" applyFill="1" applyBorder="1" applyAlignment="1" applyProtection="1">
      <alignment horizontal="left"/>
      <protection hidden="1"/>
    </xf>
    <xf numFmtId="0" fontId="48" fillId="0" borderId="0" xfId="0" applyFont="1" applyFill="1" applyAlignment="1" applyProtection="1">
      <alignment horizontal="left"/>
      <protection hidden="1"/>
    </xf>
    <xf numFmtId="0" fontId="48" fillId="0" borderId="0" xfId="0" applyFont="1" applyFill="1" applyBorder="1" applyAlignment="1" applyProtection="1">
      <alignment horizontal="left"/>
      <protection hidden="1"/>
    </xf>
    <xf numFmtId="9" fontId="48" fillId="0" borderId="1" xfId="0" applyNumberFormat="1" applyFont="1" applyFill="1" applyBorder="1" applyAlignment="1" applyProtection="1">
      <alignment horizontal="left"/>
      <protection hidden="1"/>
    </xf>
    <xf numFmtId="0" fontId="48" fillId="0" borderId="1" xfId="0" applyFont="1" applyFill="1" applyBorder="1" applyAlignment="1" applyProtection="1">
      <alignment horizontal="left"/>
      <protection hidden="1"/>
    </xf>
    <xf numFmtId="0" fontId="48" fillId="0" borderId="0" xfId="0" applyFont="1" applyFill="1" applyBorder="1" applyAlignment="1" applyProtection="1">
      <alignment horizontal="center"/>
      <protection hidden="1"/>
    </xf>
    <xf numFmtId="0" fontId="48" fillId="0" borderId="0" xfId="0" applyFont="1" applyFill="1" applyAlignment="1" applyProtection="1">
      <alignment horizontal="center"/>
      <protection hidden="1"/>
    </xf>
    <xf numFmtId="0" fontId="46" fillId="0" borderId="1" xfId="0" applyFont="1" applyFill="1" applyBorder="1" applyAlignment="1" applyProtection="1">
      <alignment horizontal="left"/>
      <protection hidden="1"/>
    </xf>
    <xf numFmtId="0" fontId="3" fillId="0" borderId="1" xfId="0" applyFont="1" applyFill="1" applyBorder="1" applyProtection="1">
      <protection hidden="1"/>
    </xf>
    <xf numFmtId="0" fontId="12" fillId="11" borderId="1" xfId="0" applyFont="1" applyFill="1" applyBorder="1" applyProtection="1">
      <protection hidden="1"/>
    </xf>
    <xf numFmtId="0" fontId="46" fillId="0" borderId="1" xfId="0" applyFont="1" applyFill="1" applyBorder="1" applyAlignment="1" applyProtection="1">
      <alignment horizontal="center"/>
      <protection hidden="1"/>
    </xf>
    <xf numFmtId="0" fontId="2" fillId="11" borderId="1" xfId="0" applyFont="1" applyFill="1" applyBorder="1" applyAlignment="1" applyProtection="1">
      <alignment horizontal="left"/>
      <protection hidden="1"/>
    </xf>
    <xf numFmtId="0" fontId="2" fillId="11" borderId="1" xfId="0" applyFont="1" applyFill="1" applyBorder="1" applyAlignment="1" applyProtection="1">
      <alignment horizontal="center"/>
      <protection hidden="1"/>
    </xf>
    <xf numFmtId="0" fontId="85" fillId="10" borderId="103" xfId="0" applyFont="1" applyFill="1" applyBorder="1" applyAlignment="1" applyProtection="1">
      <alignment horizontal="left" vertical="center"/>
      <protection hidden="1"/>
    </xf>
    <xf numFmtId="0" fontId="85" fillId="10" borderId="104" xfId="0" applyFont="1" applyFill="1" applyBorder="1" applyAlignment="1" applyProtection="1">
      <alignment horizontal="left" vertical="center"/>
      <protection hidden="1"/>
    </xf>
    <xf numFmtId="0" fontId="85" fillId="10" borderId="105" xfId="0" applyFont="1" applyFill="1" applyBorder="1" applyAlignment="1" applyProtection="1">
      <alignment horizontal="left" vertical="center"/>
      <protection hidden="1"/>
    </xf>
    <xf numFmtId="0" fontId="86" fillId="10" borderId="0" xfId="0" applyFont="1" applyFill="1" applyProtection="1">
      <protection hidden="1"/>
    </xf>
    <xf numFmtId="0" fontId="86" fillId="10" borderId="36" xfId="0" applyFont="1" applyFill="1" applyBorder="1" applyProtection="1">
      <protection hidden="1"/>
    </xf>
    <xf numFmtId="0" fontId="86" fillId="10" borderId="37" xfId="0" applyFont="1" applyFill="1" applyBorder="1" applyProtection="1">
      <protection hidden="1"/>
    </xf>
    <xf numFmtId="0" fontId="86" fillId="10" borderId="38" xfId="0" applyFont="1" applyFill="1" applyBorder="1" applyProtection="1">
      <protection hidden="1"/>
    </xf>
    <xf numFmtId="0" fontId="86" fillId="10" borderId="39" xfId="0" applyFont="1" applyFill="1" applyBorder="1" applyProtection="1">
      <protection hidden="1"/>
    </xf>
    <xf numFmtId="0" fontId="86" fillId="10" borderId="0" xfId="0" applyFont="1" applyFill="1" applyBorder="1" applyProtection="1">
      <protection hidden="1"/>
    </xf>
    <xf numFmtId="0" fontId="86" fillId="10" borderId="40" xfId="0" applyFont="1" applyFill="1" applyBorder="1" applyProtection="1">
      <protection hidden="1"/>
    </xf>
    <xf numFmtId="0" fontId="87" fillId="10" borderId="41" xfId="0" applyFont="1" applyFill="1" applyBorder="1" applyAlignment="1" applyProtection="1">
      <alignment horizontal="left" vertical="top"/>
      <protection hidden="1"/>
    </xf>
    <xf numFmtId="0" fontId="87" fillId="10" borderId="42" xfId="0" applyFont="1" applyFill="1" applyBorder="1" applyAlignment="1" applyProtection="1">
      <alignment horizontal="center" vertical="top" wrapText="1"/>
      <protection hidden="1"/>
    </xf>
    <xf numFmtId="0" fontId="86" fillId="10" borderId="42" xfId="0" applyFont="1" applyFill="1" applyBorder="1" applyProtection="1">
      <protection hidden="1"/>
    </xf>
    <xf numFmtId="0" fontId="87" fillId="10" borderId="42" xfId="0" applyFont="1" applyFill="1" applyBorder="1" applyAlignment="1" applyProtection="1">
      <alignment horizontal="left" vertical="top" wrapText="1"/>
      <protection hidden="1"/>
    </xf>
    <xf numFmtId="0" fontId="87" fillId="10" borderId="43" xfId="0" applyFont="1" applyFill="1" applyBorder="1" applyAlignment="1" applyProtection="1">
      <alignment horizontal="center" vertical="top" wrapText="1"/>
      <protection hidden="1"/>
    </xf>
    <xf numFmtId="0" fontId="88" fillId="10" borderId="39" xfId="0" applyFont="1" applyFill="1" applyBorder="1" applyProtection="1">
      <protection hidden="1"/>
    </xf>
    <xf numFmtId="0" fontId="88" fillId="10" borderId="44" xfId="0" applyFont="1" applyFill="1" applyBorder="1" applyProtection="1">
      <protection hidden="1"/>
    </xf>
    <xf numFmtId="0" fontId="86" fillId="10" borderId="45" xfId="0" applyFont="1" applyFill="1" applyBorder="1" applyProtection="1">
      <protection hidden="1"/>
    </xf>
    <xf numFmtId="0" fontId="86" fillId="10" borderId="46" xfId="0" applyFont="1" applyFill="1" applyBorder="1" applyProtection="1">
      <protection hidden="1"/>
    </xf>
    <xf numFmtId="0" fontId="89" fillId="10" borderId="0" xfId="0" applyFont="1" applyFill="1" applyAlignment="1" applyProtection="1">
      <alignment horizontal="left"/>
      <protection hidden="1"/>
    </xf>
    <xf numFmtId="0" fontId="90" fillId="10" borderId="0" xfId="0" applyFont="1" applyFill="1" applyAlignment="1" applyProtection="1">
      <alignment horizontal="right"/>
      <protection hidden="1"/>
    </xf>
    <xf numFmtId="0" fontId="90" fillId="10" borderId="0" xfId="0" applyFont="1" applyFill="1" applyAlignment="1" applyProtection="1">
      <protection hidden="1"/>
    </xf>
    <xf numFmtId="0" fontId="91" fillId="10" borderId="0" xfId="0" applyFont="1" applyFill="1" applyProtection="1">
      <protection hidden="1"/>
    </xf>
    <xf numFmtId="0" fontId="92" fillId="10" borderId="0" xfId="0" applyFont="1" applyFill="1" applyProtection="1">
      <protection hidden="1"/>
    </xf>
    <xf numFmtId="0" fontId="92" fillId="10" borderId="47" xfId="0" applyFont="1" applyFill="1" applyBorder="1" applyProtection="1">
      <protection hidden="1"/>
    </xf>
    <xf numFmtId="0" fontId="92" fillId="10" borderId="42" xfId="0" applyFont="1" applyFill="1" applyBorder="1" applyProtection="1">
      <protection hidden="1"/>
    </xf>
    <xf numFmtId="0" fontId="92" fillId="10" borderId="48" xfId="0" applyFont="1" applyFill="1" applyBorder="1" applyProtection="1">
      <protection hidden="1"/>
    </xf>
    <xf numFmtId="0" fontId="92" fillId="10" borderId="49" xfId="0" applyFont="1" applyFill="1" applyBorder="1" applyProtection="1">
      <protection hidden="1"/>
    </xf>
    <xf numFmtId="0" fontId="92" fillId="10" borderId="0" xfId="0" applyFont="1" applyFill="1" applyBorder="1" applyProtection="1">
      <protection hidden="1"/>
    </xf>
    <xf numFmtId="0" fontId="92" fillId="10" borderId="50" xfId="0" applyFont="1" applyFill="1" applyBorder="1" applyProtection="1">
      <protection hidden="1"/>
    </xf>
    <xf numFmtId="0" fontId="92" fillId="10" borderId="51" xfId="0" applyFont="1" applyFill="1" applyBorder="1" applyProtection="1">
      <protection hidden="1"/>
    </xf>
    <xf numFmtId="0" fontId="92" fillId="10" borderId="13" xfId="0" applyFont="1" applyFill="1" applyBorder="1" applyProtection="1">
      <protection hidden="1"/>
    </xf>
    <xf numFmtId="0" fontId="92" fillId="10" borderId="52" xfId="0" applyFont="1" applyFill="1" applyBorder="1" applyProtection="1">
      <protection hidden="1"/>
    </xf>
    <xf numFmtId="0" fontId="93" fillId="10" borderId="47" xfId="0" applyFont="1" applyFill="1" applyBorder="1" applyAlignment="1" applyProtection="1">
      <alignment horizontal="left" vertical="top"/>
      <protection hidden="1"/>
    </xf>
    <xf numFmtId="0" fontId="93" fillId="10" borderId="42" xfId="0" applyFont="1" applyFill="1" applyBorder="1" applyAlignment="1" applyProtection="1">
      <alignment horizontal="center" vertical="top" wrapText="1"/>
      <protection hidden="1"/>
    </xf>
    <xf numFmtId="0" fontId="93" fillId="10" borderId="42" xfId="0" applyFont="1" applyFill="1" applyBorder="1" applyAlignment="1" applyProtection="1">
      <alignment horizontal="left" vertical="top" wrapText="1"/>
      <protection hidden="1"/>
    </xf>
    <xf numFmtId="0" fontId="93" fillId="10" borderId="48" xfId="0" applyFont="1" applyFill="1" applyBorder="1" applyAlignment="1" applyProtection="1">
      <alignment horizontal="center" vertical="top" wrapText="1"/>
      <protection hidden="1"/>
    </xf>
    <xf numFmtId="0" fontId="49" fillId="0" borderId="0" xfId="0" applyFont="1" applyProtection="1">
      <protection hidden="1"/>
    </xf>
    <xf numFmtId="0" fontId="49" fillId="0" borderId="0" xfId="0" applyFont="1" applyFill="1" applyBorder="1"/>
    <xf numFmtId="0" fontId="0" fillId="0" borderId="47" xfId="0" applyBorder="1"/>
    <xf numFmtId="0" fontId="0" fillId="0" borderId="53" xfId="0" applyBorder="1"/>
    <xf numFmtId="0" fontId="0" fillId="0" borderId="54" xfId="0" applyBorder="1"/>
    <xf numFmtId="0" fontId="8" fillId="0" borderId="55" xfId="0" applyFont="1" applyBorder="1"/>
    <xf numFmtId="0" fontId="0" fillId="0" borderId="56" xfId="0" applyFill="1" applyBorder="1"/>
    <xf numFmtId="2" fontId="0" fillId="0" borderId="24" xfId="0" applyNumberFormat="1" applyBorder="1"/>
    <xf numFmtId="2" fontId="0" fillId="0" borderId="57" xfId="0" applyNumberFormat="1" applyBorder="1"/>
    <xf numFmtId="2" fontId="0" fillId="0" borderId="35" xfId="0" applyNumberFormat="1" applyBorder="1"/>
    <xf numFmtId="2" fontId="0" fillId="0" borderId="1" xfId="0" applyNumberFormat="1" applyBorder="1"/>
    <xf numFmtId="2" fontId="0" fillId="0" borderId="31" xfId="0" applyNumberFormat="1" applyBorder="1"/>
    <xf numFmtId="172" fontId="8" fillId="0" borderId="0" xfId="2" applyNumberFormat="1" applyFont="1" applyFill="1" applyBorder="1" applyAlignment="1" applyProtection="1">
      <protection hidden="1"/>
    </xf>
    <xf numFmtId="2" fontId="8" fillId="0" borderId="0" xfId="0" applyNumberFormat="1" applyFont="1" applyFill="1" applyBorder="1" applyAlignment="1" applyProtection="1">
      <alignment horizontal="left"/>
      <protection hidden="1"/>
    </xf>
    <xf numFmtId="0" fontId="3" fillId="0" borderId="28" xfId="0" applyFont="1" applyFill="1" applyBorder="1" applyAlignment="1" applyProtection="1">
      <alignment horizontal="right" vertical="center"/>
      <protection hidden="1"/>
    </xf>
    <xf numFmtId="0" fontId="8" fillId="0" borderId="29" xfId="0" applyFont="1" applyFill="1" applyBorder="1" applyAlignment="1" applyProtection="1">
      <alignment horizontal="center" vertical="center"/>
      <protection hidden="1"/>
    </xf>
    <xf numFmtId="2" fontId="8" fillId="0" borderId="0" xfId="0" applyNumberFormat="1" applyFont="1" applyFill="1" applyProtection="1">
      <protection hidden="1"/>
    </xf>
    <xf numFmtId="0" fontId="8" fillId="0" borderId="30" xfId="0" applyFont="1" applyFill="1" applyBorder="1" applyAlignment="1" applyProtection="1">
      <alignment horizontal="center"/>
      <protection hidden="1"/>
    </xf>
    <xf numFmtId="0" fontId="8" fillId="0" borderId="2" xfId="0" applyFont="1" applyFill="1" applyBorder="1" applyAlignment="1" applyProtection="1">
      <alignment horizontal="center" vertical="center"/>
      <protection hidden="1"/>
    </xf>
    <xf numFmtId="0" fontId="3" fillId="0" borderId="1" xfId="0" applyFont="1" applyFill="1" applyBorder="1" applyAlignment="1" applyProtection="1">
      <alignment horizontal="right" vertical="center"/>
      <protection hidden="1"/>
    </xf>
    <xf numFmtId="0" fontId="8" fillId="0" borderId="31" xfId="0" applyFont="1" applyFill="1" applyBorder="1" applyAlignment="1" applyProtection="1">
      <alignment horizontal="center" vertical="center"/>
      <protection hidden="1"/>
    </xf>
    <xf numFmtId="0" fontId="3" fillId="0" borderId="0" xfId="0" applyFont="1" applyFill="1" applyBorder="1" applyAlignment="1" applyProtection="1">
      <alignment vertical="center"/>
      <protection hidden="1"/>
    </xf>
    <xf numFmtId="0" fontId="0" fillId="0" borderId="50" xfId="0" applyFill="1" applyBorder="1" applyAlignment="1" applyProtection="1">
      <alignment vertical="center"/>
      <protection hidden="1"/>
    </xf>
    <xf numFmtId="0" fontId="8" fillId="0" borderId="32" xfId="0" applyFont="1" applyFill="1" applyBorder="1" applyAlignment="1" applyProtection="1">
      <alignment horizontal="center"/>
      <protection hidden="1"/>
    </xf>
    <xf numFmtId="0" fontId="8" fillId="0" borderId="33" xfId="0" applyFont="1" applyFill="1" applyBorder="1" applyAlignment="1" applyProtection="1">
      <alignment horizontal="center"/>
      <protection hidden="1"/>
    </xf>
    <xf numFmtId="0" fontId="8" fillId="0" borderId="34" xfId="0" applyFont="1" applyFill="1" applyBorder="1" applyAlignment="1" applyProtection="1">
      <alignment horizontal="center" vertical="center"/>
      <protection hidden="1"/>
    </xf>
    <xf numFmtId="0" fontId="3" fillId="0" borderId="13" xfId="0" applyFont="1" applyFill="1" applyBorder="1" applyAlignment="1" applyProtection="1">
      <alignment vertical="center"/>
      <protection hidden="1"/>
    </xf>
    <xf numFmtId="0" fontId="0" fillId="0" borderId="52" xfId="0" applyFill="1" applyBorder="1" applyAlignment="1" applyProtection="1">
      <alignment vertical="center"/>
      <protection hidden="1"/>
    </xf>
    <xf numFmtId="0" fontId="3" fillId="0" borderId="49" xfId="0" applyFont="1" applyFill="1" applyBorder="1" applyAlignment="1" applyProtection="1">
      <alignment horizontal="center" vertical="center"/>
      <protection hidden="1"/>
    </xf>
    <xf numFmtId="3" fontId="3" fillId="0" borderId="0" xfId="0" applyNumberFormat="1" applyFont="1" applyFill="1" applyBorder="1" applyAlignment="1" applyProtection="1">
      <alignment horizontal="center" vertical="center"/>
      <protection hidden="1"/>
    </xf>
    <xf numFmtId="0" fontId="3" fillId="0" borderId="50" xfId="0" applyFont="1" applyFill="1" applyBorder="1" applyAlignment="1" applyProtection="1">
      <alignment horizontal="center" vertical="center"/>
      <protection hidden="1"/>
    </xf>
    <xf numFmtId="0" fontId="0" fillId="0" borderId="0" xfId="0" applyFill="1" applyBorder="1" applyAlignment="1" applyProtection="1">
      <alignment vertical="center"/>
      <protection hidden="1"/>
    </xf>
    <xf numFmtId="0" fontId="0" fillId="0" borderId="10" xfId="0" applyFill="1" applyBorder="1" applyAlignment="1" applyProtection="1">
      <alignment vertical="center"/>
      <protection hidden="1"/>
    </xf>
    <xf numFmtId="0" fontId="69" fillId="0" borderId="0" xfId="0" applyFont="1" applyFill="1" applyProtection="1">
      <protection hidden="1"/>
    </xf>
    <xf numFmtId="0" fontId="35" fillId="0" borderId="1" xfId="0" applyFont="1" applyFill="1" applyBorder="1" applyAlignment="1" applyProtection="1">
      <alignment horizontal="center"/>
      <protection hidden="1"/>
    </xf>
    <xf numFmtId="0" fontId="54" fillId="0" borderId="0" xfId="0" applyFont="1" applyFill="1" applyProtection="1">
      <protection hidden="1"/>
    </xf>
    <xf numFmtId="0" fontId="0" fillId="0" borderId="1" xfId="0" applyFill="1" applyBorder="1" applyAlignment="1" applyProtection="1">
      <alignment horizontal="center" vertical="top" wrapText="1"/>
      <protection hidden="1"/>
    </xf>
    <xf numFmtId="0" fontId="0" fillId="0" borderId="1" xfId="0" applyFill="1" applyBorder="1" applyAlignment="1" applyProtection="1">
      <alignment vertical="top" wrapText="1"/>
      <protection hidden="1"/>
    </xf>
    <xf numFmtId="0" fontId="0" fillId="0" borderId="0" xfId="0" applyFill="1" applyAlignment="1" applyProtection="1">
      <alignment horizontal="center" vertical="center"/>
      <protection hidden="1"/>
    </xf>
    <xf numFmtId="0" fontId="35" fillId="0" borderId="1" xfId="0" applyFont="1" applyFill="1" applyBorder="1" applyAlignment="1" applyProtection="1">
      <alignment horizontal="right"/>
      <protection hidden="1"/>
    </xf>
    <xf numFmtId="0" fontId="2" fillId="11" borderId="0" xfId="0" applyNumberFormat="1" applyFont="1" applyFill="1" applyAlignment="1" applyProtection="1">
      <alignment horizontal="right"/>
      <protection hidden="1"/>
    </xf>
    <xf numFmtId="0" fontId="8" fillId="10" borderId="0" xfId="0" applyFont="1" applyFill="1" applyBorder="1" applyAlignment="1" applyProtection="1">
      <alignment horizontal="left"/>
      <protection locked="0" hidden="1"/>
    </xf>
    <xf numFmtId="0" fontId="0" fillId="0" borderId="0" xfId="0" applyFill="1" applyBorder="1" applyAlignment="1" applyProtection="1">
      <protection hidden="1"/>
    </xf>
    <xf numFmtId="0" fontId="69" fillId="0" borderId="0" xfId="0" applyFont="1" applyFill="1" applyBorder="1" applyAlignment="1" applyProtection="1">
      <alignment horizontal="left"/>
      <protection hidden="1"/>
    </xf>
    <xf numFmtId="0" fontId="8" fillId="0" borderId="0" xfId="0" applyFont="1" applyFill="1" applyBorder="1" applyAlignment="1" applyProtection="1">
      <alignment horizontal="left"/>
      <protection locked="0" hidden="1"/>
    </xf>
    <xf numFmtId="0" fontId="8" fillId="10" borderId="106" xfId="0" applyFont="1" applyFill="1" applyBorder="1"/>
    <xf numFmtId="0" fontId="0" fillId="0" borderId="0" xfId="0" applyFill="1" applyBorder="1"/>
    <xf numFmtId="0" fontId="0" fillId="10" borderId="107" xfId="0" applyFill="1" applyBorder="1"/>
    <xf numFmtId="0" fontId="0" fillId="10" borderId="0" xfId="0" applyFill="1" applyBorder="1"/>
    <xf numFmtId="0" fontId="8" fillId="10" borderId="0" xfId="0" applyFont="1" applyFill="1" applyBorder="1"/>
    <xf numFmtId="0" fontId="69" fillId="0" borderId="0" xfId="0" applyFont="1" applyProtection="1">
      <protection hidden="1"/>
    </xf>
    <xf numFmtId="167" fontId="17" fillId="5" borderId="1" xfId="0" applyNumberFormat="1" applyFont="1" applyFill="1" applyBorder="1" applyAlignment="1" applyProtection="1">
      <alignment horizontal="right"/>
      <protection hidden="1"/>
    </xf>
    <xf numFmtId="167" fontId="17" fillId="5" borderId="1" xfId="0" applyNumberFormat="1" applyFont="1" applyFill="1" applyBorder="1" applyProtection="1">
      <protection hidden="1"/>
    </xf>
    <xf numFmtId="167" fontId="8" fillId="0" borderId="0" xfId="0" applyNumberFormat="1" applyFont="1" applyFill="1" applyProtection="1">
      <protection hidden="1"/>
    </xf>
    <xf numFmtId="0" fontId="94" fillId="16" borderId="0" xfId="0" applyFont="1" applyFill="1" applyAlignment="1">
      <alignment vertical="center" wrapText="1"/>
    </xf>
    <xf numFmtId="0" fontId="95" fillId="11" borderId="0" xfId="0" applyFont="1" applyFill="1" applyProtection="1">
      <protection locked="0"/>
    </xf>
    <xf numFmtId="0" fontId="50" fillId="0" borderId="0" xfId="0" applyFont="1" applyFill="1" applyBorder="1" applyAlignment="1" applyProtection="1">
      <alignment vertical="top"/>
      <protection hidden="1"/>
    </xf>
    <xf numFmtId="0" fontId="51" fillId="0" borderId="0" xfId="0" applyFont="1" applyFill="1" applyBorder="1" applyAlignment="1" applyProtection="1">
      <alignment vertical="top"/>
      <protection hidden="1"/>
    </xf>
    <xf numFmtId="0" fontId="96" fillId="11" borderId="0" xfId="0" applyFont="1" applyFill="1" applyProtection="1">
      <protection hidden="1"/>
    </xf>
    <xf numFmtId="0" fontId="97" fillId="11" borderId="0" xfId="0" applyFont="1" applyFill="1" applyProtection="1">
      <protection hidden="1"/>
    </xf>
    <xf numFmtId="0" fontId="13" fillId="11" borderId="0" xfId="0" applyFont="1" applyFill="1" applyProtection="1">
      <protection hidden="1"/>
    </xf>
    <xf numFmtId="172" fontId="14" fillId="0" borderId="0" xfId="0" applyNumberFormat="1" applyFont="1" applyFill="1" applyBorder="1" applyAlignment="1" applyProtection="1">
      <alignment horizontal="right"/>
      <protection locked="0"/>
    </xf>
    <xf numFmtId="172" fontId="49" fillId="0" borderId="0" xfId="0" applyNumberFormat="1" applyFont="1" applyFill="1" applyBorder="1" applyAlignment="1" applyProtection="1">
      <alignment horizontal="right"/>
      <protection locked="0"/>
    </xf>
    <xf numFmtId="172" fontId="14" fillId="10" borderId="0" xfId="0" applyNumberFormat="1" applyFont="1" applyFill="1" applyBorder="1" applyAlignment="1" applyProtection="1">
      <alignment horizontal="right"/>
      <protection locked="0"/>
    </xf>
    <xf numFmtId="172" fontId="8" fillId="10" borderId="0" xfId="0" applyNumberFormat="1" applyFont="1" applyFill="1" applyBorder="1" applyAlignment="1" applyProtection="1">
      <protection hidden="1"/>
    </xf>
    <xf numFmtId="172" fontId="8" fillId="0" borderId="0" xfId="0" applyNumberFormat="1" applyFont="1" applyFill="1" applyBorder="1" applyAlignment="1" applyProtection="1">
      <protection hidden="1"/>
    </xf>
    <xf numFmtId="0" fontId="98" fillId="11" borderId="0" xfId="0" applyFont="1" applyFill="1" applyProtection="1">
      <protection hidden="1"/>
    </xf>
    <xf numFmtId="172" fontId="98" fillId="11" borderId="0" xfId="0" applyNumberFormat="1" applyFont="1" applyFill="1" applyBorder="1" applyAlignment="1" applyProtection="1">
      <alignment horizontal="right"/>
      <protection locked="0"/>
    </xf>
    <xf numFmtId="0" fontId="99" fillId="11" borderId="0" xfId="0" applyFont="1" applyFill="1" applyProtection="1">
      <protection hidden="1"/>
    </xf>
    <xf numFmtId="0" fontId="2" fillId="17" borderId="1" xfId="0" applyFont="1" applyFill="1" applyBorder="1" applyAlignment="1" applyProtection="1">
      <alignment horizontal="left"/>
      <protection hidden="1"/>
    </xf>
    <xf numFmtId="0" fontId="3" fillId="0" borderId="0" xfId="0" applyFont="1" applyAlignment="1">
      <alignment horizontal="center" vertical="center"/>
    </xf>
    <xf numFmtId="0" fontId="52" fillId="0" borderId="58" xfId="0" applyFont="1" applyBorder="1"/>
    <xf numFmtId="2" fontId="52" fillId="0" borderId="59" xfId="0" applyNumberFormat="1" applyFont="1" applyBorder="1"/>
    <xf numFmtId="2" fontId="52" fillId="0" borderId="33" xfId="0" applyNumberFormat="1" applyFont="1" applyBorder="1"/>
    <xf numFmtId="2" fontId="52" fillId="0" borderId="34" xfId="0" applyNumberFormat="1" applyFont="1" applyBorder="1"/>
    <xf numFmtId="0" fontId="52" fillId="0" borderId="60" xfId="0" applyFont="1" applyBorder="1"/>
    <xf numFmtId="2" fontId="52" fillId="0" borderId="11" xfId="0" applyNumberFormat="1" applyFont="1" applyBorder="1"/>
    <xf numFmtId="2" fontId="52" fillId="0" borderId="24" xfId="0" applyNumberFormat="1" applyFont="1" applyBorder="1"/>
    <xf numFmtId="0" fontId="52" fillId="0" borderId="55" xfId="0" applyFont="1" applyBorder="1"/>
    <xf numFmtId="2" fontId="52" fillId="0" borderId="35" xfId="0" applyNumberFormat="1" applyFont="1" applyBorder="1"/>
    <xf numFmtId="2" fontId="52" fillId="0" borderId="1" xfId="0" applyNumberFormat="1" applyFont="1" applyBorder="1"/>
    <xf numFmtId="2" fontId="0" fillId="0" borderId="0" xfId="0" applyNumberFormat="1" applyBorder="1"/>
    <xf numFmtId="167" fontId="8" fillId="0" borderId="0" xfId="0" applyNumberFormat="1" applyFont="1" applyFill="1"/>
    <xf numFmtId="0" fontId="53" fillId="0" borderId="0" xfId="0" applyFont="1" applyProtection="1">
      <protection hidden="1"/>
    </xf>
    <xf numFmtId="0" fontId="53" fillId="0" borderId="0" xfId="0" applyFont="1" applyFill="1" applyBorder="1"/>
    <xf numFmtId="172" fontId="53" fillId="0" borderId="0" xfId="0" applyNumberFormat="1" applyFont="1" applyFill="1" applyBorder="1" applyAlignment="1" applyProtection="1">
      <alignment horizontal="right"/>
      <protection locked="0"/>
    </xf>
    <xf numFmtId="172" fontId="53" fillId="0" borderId="0" xfId="2" applyNumberFormat="1" applyFont="1" applyFill="1" applyBorder="1" applyAlignment="1" applyProtection="1">
      <protection hidden="1"/>
    </xf>
    <xf numFmtId="9" fontId="17" fillId="4" borderId="1" xfId="0" applyNumberFormat="1" applyFont="1" applyFill="1" applyBorder="1" applyAlignment="1" applyProtection="1">
      <alignment horizontal="right"/>
      <protection locked="0" hidden="1"/>
    </xf>
    <xf numFmtId="0" fontId="40" fillId="0" borderId="0" xfId="0" applyFont="1" applyProtection="1">
      <protection hidden="1"/>
    </xf>
    <xf numFmtId="0" fontId="14" fillId="0" borderId="0" xfId="0" applyFont="1" applyAlignment="1" applyProtection="1">
      <alignment horizontal="right"/>
      <protection hidden="1"/>
    </xf>
    <xf numFmtId="9" fontId="14" fillId="0" borderId="0" xfId="0" applyNumberFormat="1" applyFont="1" applyAlignment="1" applyProtection="1">
      <alignment horizontal="left"/>
      <protection hidden="1"/>
    </xf>
    <xf numFmtId="0" fontId="103" fillId="0" borderId="0" xfId="0" applyFont="1" applyFill="1" applyBorder="1" applyAlignment="1" applyProtection="1">
      <protection hidden="1"/>
    </xf>
    <xf numFmtId="2" fontId="17" fillId="4" borderId="1" xfId="0" applyNumberFormat="1" applyFont="1" applyFill="1" applyBorder="1" applyProtection="1">
      <protection hidden="1"/>
    </xf>
    <xf numFmtId="0" fontId="17" fillId="0" borderId="1" xfId="0" applyNumberFormat="1" applyFont="1" applyFill="1" applyBorder="1" applyAlignment="1" applyProtection="1">
      <alignment horizontal="right"/>
      <protection hidden="1"/>
    </xf>
    <xf numFmtId="0" fontId="0" fillId="0" borderId="1" xfId="0" applyNumberFormat="1" applyFill="1" applyBorder="1" applyAlignment="1" applyProtection="1">
      <alignment horizontal="right" vertical="center"/>
      <protection hidden="1"/>
    </xf>
    <xf numFmtId="0" fontId="0" fillId="0" borderId="1" xfId="0" applyBorder="1" applyAlignment="1" applyProtection="1">
      <protection hidden="1"/>
    </xf>
    <xf numFmtId="0" fontId="0" fillId="0" borderId="2" xfId="0" applyBorder="1" applyAlignment="1" applyProtection="1">
      <protection hidden="1"/>
    </xf>
    <xf numFmtId="0" fontId="0" fillId="0" borderId="8" xfId="0" applyBorder="1" applyAlignment="1" applyProtection="1">
      <protection hidden="1"/>
    </xf>
    <xf numFmtId="0" fontId="0" fillId="0" borderId="35" xfId="0" applyBorder="1" applyAlignment="1" applyProtection="1">
      <protection hidden="1"/>
    </xf>
    <xf numFmtId="0" fontId="14" fillId="4" borderId="2" xfId="0" applyFont="1" applyFill="1" applyBorder="1" applyAlignment="1" applyProtection="1">
      <alignment horizontal="center" vertical="center" wrapText="1"/>
      <protection locked="0" hidden="1"/>
    </xf>
    <xf numFmtId="0" fontId="14" fillId="4" borderId="35" xfId="0" applyFont="1" applyFill="1" applyBorder="1" applyAlignment="1" applyProtection="1">
      <alignment horizontal="center" vertical="center" wrapText="1"/>
      <protection locked="0" hidden="1"/>
    </xf>
    <xf numFmtId="0" fontId="32" fillId="0" borderId="0" xfId="0" applyFont="1" applyFill="1" applyBorder="1" applyAlignment="1" applyProtection="1">
      <alignment vertical="top" wrapText="1"/>
      <protection hidden="1"/>
    </xf>
    <xf numFmtId="167" fontId="87" fillId="5" borderId="2" xfId="0" applyNumberFormat="1" applyFont="1" applyFill="1" applyBorder="1" applyAlignment="1" applyProtection="1">
      <alignment horizontal="center" vertical="top" wrapText="1"/>
      <protection hidden="1"/>
    </xf>
    <xf numFmtId="167" fontId="87" fillId="5" borderId="8" xfId="0" applyNumberFormat="1" applyFont="1" applyFill="1" applyBorder="1" applyAlignment="1" applyProtection="1">
      <alignment horizontal="center" vertical="top" wrapText="1"/>
      <protection hidden="1"/>
    </xf>
    <xf numFmtId="167" fontId="87" fillId="5" borderId="65" xfId="0" applyNumberFormat="1" applyFont="1" applyFill="1" applyBorder="1" applyAlignment="1" applyProtection="1">
      <alignment horizontal="center" vertical="top" wrapText="1"/>
      <protection hidden="1"/>
    </xf>
    <xf numFmtId="0" fontId="93" fillId="5" borderId="66" xfId="0" applyFont="1" applyFill="1" applyBorder="1" applyAlignment="1" applyProtection="1">
      <alignment horizontal="center" vertical="top" wrapText="1"/>
      <protection hidden="1"/>
    </xf>
    <xf numFmtId="0" fontId="93" fillId="5" borderId="35" xfId="0" applyFont="1" applyFill="1" applyBorder="1" applyAlignment="1" applyProtection="1">
      <alignment horizontal="center" vertical="top" wrapText="1"/>
      <protection hidden="1"/>
    </xf>
    <xf numFmtId="167" fontId="93" fillId="5" borderId="66" xfId="0" applyNumberFormat="1" applyFont="1" applyFill="1" applyBorder="1" applyAlignment="1" applyProtection="1">
      <alignment horizontal="center" vertical="top" wrapText="1"/>
      <protection hidden="1"/>
    </xf>
    <xf numFmtId="167" fontId="93" fillId="5" borderId="35" xfId="0" applyNumberFormat="1" applyFont="1" applyFill="1" applyBorder="1" applyAlignment="1" applyProtection="1">
      <alignment horizontal="center" vertical="top" wrapText="1"/>
      <protection hidden="1"/>
    </xf>
    <xf numFmtId="0" fontId="93" fillId="5" borderId="1" xfId="0" applyFont="1" applyFill="1" applyBorder="1" applyAlignment="1" applyProtection="1">
      <alignment horizontal="center" vertical="top" wrapText="1"/>
      <protection hidden="1"/>
    </xf>
    <xf numFmtId="0" fontId="93" fillId="5" borderId="31" xfId="0" applyFont="1" applyFill="1" applyBorder="1" applyAlignment="1" applyProtection="1">
      <alignment horizontal="center" vertical="top" wrapText="1"/>
      <protection hidden="1"/>
    </xf>
    <xf numFmtId="0" fontId="14" fillId="0" borderId="0" xfId="0" applyFont="1" applyAlignment="1" applyProtection="1">
      <alignment vertical="center" wrapText="1"/>
      <protection hidden="1"/>
    </xf>
    <xf numFmtId="0" fontId="3" fillId="0" borderId="1" xfId="0" applyFont="1" applyFill="1" applyBorder="1" applyAlignment="1" applyProtection="1">
      <protection hidden="1"/>
    </xf>
    <xf numFmtId="0" fontId="14" fillId="4" borderId="2" xfId="0" applyFont="1" applyFill="1" applyBorder="1" applyAlignment="1" applyProtection="1">
      <alignment horizontal="center"/>
      <protection locked="0"/>
    </xf>
    <xf numFmtId="0" fontId="14" fillId="4" borderId="35" xfId="0" applyFont="1" applyFill="1" applyBorder="1" applyAlignment="1" applyProtection="1">
      <alignment horizontal="center"/>
      <protection locked="0"/>
    </xf>
    <xf numFmtId="0" fontId="14" fillId="4" borderId="2" xfId="0" applyFont="1" applyFill="1" applyBorder="1" applyAlignment="1" applyProtection="1">
      <alignment horizontal="center"/>
      <protection locked="0" hidden="1"/>
    </xf>
    <xf numFmtId="0" fontId="14" fillId="4" borderId="35" xfId="0" applyFont="1" applyFill="1" applyBorder="1" applyAlignment="1" applyProtection="1">
      <alignment horizontal="center"/>
      <protection locked="0" hidden="1"/>
    </xf>
    <xf numFmtId="167" fontId="14" fillId="5" borderId="61" xfId="0" applyNumberFormat="1" applyFont="1" applyFill="1" applyBorder="1" applyAlignment="1" applyProtection="1">
      <alignment horizontal="center" vertical="top" wrapText="1"/>
      <protection hidden="1"/>
    </xf>
    <xf numFmtId="167" fontId="14" fillId="5" borderId="8" xfId="0" applyNumberFormat="1" applyFont="1" applyFill="1" applyBorder="1" applyAlignment="1" applyProtection="1">
      <alignment horizontal="center" vertical="top" wrapText="1"/>
      <protection hidden="1"/>
    </xf>
    <xf numFmtId="0" fontId="33" fillId="0" borderId="47" xfId="0" applyFont="1" applyBorder="1" applyAlignment="1" applyProtection="1">
      <alignment horizontal="center" vertical="center"/>
      <protection hidden="1"/>
    </xf>
    <xf numFmtId="0" fontId="33" fillId="0" borderId="42" xfId="0" applyFont="1" applyBorder="1" applyAlignment="1" applyProtection="1">
      <alignment horizontal="center" vertical="center"/>
      <protection hidden="1"/>
    </xf>
    <xf numFmtId="0" fontId="33" fillId="0" borderId="48" xfId="0" applyFont="1" applyBorder="1" applyAlignment="1" applyProtection="1">
      <alignment horizontal="center" vertical="center"/>
      <protection hidden="1"/>
    </xf>
    <xf numFmtId="0" fontId="33" fillId="0" borderId="51" xfId="0" applyFont="1" applyBorder="1" applyAlignment="1" applyProtection="1">
      <alignment horizontal="center" vertical="center"/>
      <protection hidden="1"/>
    </xf>
    <xf numFmtId="0" fontId="33" fillId="0" borderId="13" xfId="0" applyFont="1" applyBorder="1" applyAlignment="1" applyProtection="1">
      <alignment horizontal="center" vertical="center"/>
      <protection hidden="1"/>
    </xf>
    <xf numFmtId="0" fontId="33" fillId="0" borderId="52" xfId="0" applyFont="1" applyBorder="1" applyAlignment="1" applyProtection="1">
      <alignment horizontal="center" vertical="center"/>
      <protection hidden="1"/>
    </xf>
    <xf numFmtId="167" fontId="93" fillId="5" borderId="1" xfId="0" applyNumberFormat="1" applyFont="1" applyFill="1" applyBorder="1" applyAlignment="1" applyProtection="1">
      <alignment horizontal="center" vertical="top" wrapText="1"/>
      <protection hidden="1"/>
    </xf>
    <xf numFmtId="167" fontId="93" fillId="5" borderId="31" xfId="0" applyNumberFormat="1" applyFont="1" applyFill="1" applyBorder="1" applyAlignment="1" applyProtection="1">
      <alignment horizontal="center" vertical="top" wrapText="1"/>
      <protection hidden="1"/>
    </xf>
    <xf numFmtId="1" fontId="93" fillId="17" borderId="1" xfId="0" applyNumberFormat="1" applyFont="1" applyFill="1" applyBorder="1" applyAlignment="1" applyProtection="1">
      <alignment horizontal="center" vertical="top" wrapText="1"/>
      <protection hidden="1"/>
    </xf>
    <xf numFmtId="1" fontId="93" fillId="17" borderId="31" xfId="0" applyNumberFormat="1" applyFont="1" applyFill="1" applyBorder="1" applyAlignment="1" applyProtection="1">
      <alignment horizontal="center" vertical="top" wrapText="1"/>
      <protection hidden="1"/>
    </xf>
    <xf numFmtId="0" fontId="14" fillId="4" borderId="61" xfId="0" applyFont="1" applyFill="1" applyBorder="1" applyAlignment="1" applyProtection="1">
      <alignment horizontal="center"/>
      <protection locked="0"/>
    </xf>
    <xf numFmtId="0" fontId="14" fillId="4" borderId="8" xfId="0" applyFont="1" applyFill="1" applyBorder="1" applyAlignment="1" applyProtection="1">
      <alignment horizontal="center"/>
      <protection locked="0"/>
    </xf>
    <xf numFmtId="0" fontId="14" fillId="5" borderId="3" xfId="0" applyFont="1" applyFill="1" applyBorder="1" applyAlignment="1" applyProtection="1">
      <alignment horizontal="center" vertical="center" wrapText="1"/>
      <protection hidden="1"/>
    </xf>
    <xf numFmtId="0" fontId="14" fillId="5" borderId="4" xfId="0" applyFont="1" applyFill="1" applyBorder="1" applyAlignment="1" applyProtection="1">
      <alignment horizontal="center" vertical="center" wrapText="1"/>
      <protection hidden="1"/>
    </xf>
    <xf numFmtId="0" fontId="14" fillId="5" borderId="9" xfId="0" applyFont="1" applyFill="1" applyBorder="1" applyAlignment="1" applyProtection="1">
      <alignment horizontal="center" vertical="center" wrapText="1"/>
      <protection hidden="1"/>
    </xf>
    <xf numFmtId="0" fontId="14" fillId="5" borderId="6" xfId="0" applyFont="1" applyFill="1" applyBorder="1" applyAlignment="1" applyProtection="1">
      <alignment horizontal="center" vertical="center" wrapText="1"/>
      <protection hidden="1"/>
    </xf>
    <xf numFmtId="0" fontId="14" fillId="5" borderId="7" xfId="0" applyFont="1" applyFill="1" applyBorder="1" applyAlignment="1" applyProtection="1">
      <alignment horizontal="center" vertical="center" wrapText="1"/>
      <protection hidden="1"/>
    </xf>
    <xf numFmtId="0" fontId="14" fillId="5" borderId="11" xfId="0" applyFont="1" applyFill="1" applyBorder="1" applyAlignment="1" applyProtection="1">
      <alignment horizontal="center" vertical="center" wrapText="1"/>
      <protection hidden="1"/>
    </xf>
    <xf numFmtId="0" fontId="87" fillId="4" borderId="61" xfId="0" applyFont="1" applyFill="1" applyBorder="1" applyAlignment="1" applyProtection="1">
      <alignment horizontal="center"/>
      <protection locked="0"/>
    </xf>
    <xf numFmtId="0" fontId="87" fillId="4" borderId="35" xfId="0" applyFont="1" applyFill="1" applyBorder="1" applyAlignment="1" applyProtection="1">
      <alignment horizontal="center"/>
      <protection locked="0"/>
    </xf>
    <xf numFmtId="0" fontId="87" fillId="5" borderId="61" xfId="0" applyFont="1" applyFill="1" applyBorder="1" applyAlignment="1" applyProtection="1">
      <alignment horizontal="center" vertical="top" wrapText="1"/>
      <protection hidden="1"/>
    </xf>
    <xf numFmtId="0" fontId="87" fillId="5" borderId="8" xfId="0" applyFont="1" applyFill="1" applyBorder="1" applyAlignment="1" applyProtection="1">
      <alignment horizontal="center" vertical="top" wrapText="1"/>
      <protection hidden="1"/>
    </xf>
    <xf numFmtId="0" fontId="87" fillId="5" borderId="2" xfId="0" applyFont="1" applyFill="1" applyBorder="1" applyAlignment="1" applyProtection="1">
      <alignment horizontal="center" vertical="top" wrapText="1"/>
      <protection hidden="1"/>
    </xf>
    <xf numFmtId="0" fontId="87" fillId="5" borderId="65" xfId="0" applyFont="1" applyFill="1" applyBorder="1" applyAlignment="1" applyProtection="1">
      <alignment horizontal="center" vertical="top" wrapText="1"/>
      <protection hidden="1"/>
    </xf>
    <xf numFmtId="0" fontId="87" fillId="4" borderId="2" xfId="0" applyFont="1" applyFill="1" applyBorder="1" applyAlignment="1" applyProtection="1">
      <alignment horizontal="center"/>
      <protection locked="0"/>
    </xf>
    <xf numFmtId="0" fontId="87" fillId="4" borderId="8" xfId="0" applyFont="1" applyFill="1" applyBorder="1" applyAlignment="1" applyProtection="1">
      <alignment horizontal="center"/>
      <protection locked="0"/>
    </xf>
    <xf numFmtId="0" fontId="87" fillId="4" borderId="65" xfId="0" applyFont="1" applyFill="1" applyBorder="1" applyAlignment="1" applyProtection="1">
      <alignment horizontal="center"/>
      <protection locked="0"/>
    </xf>
    <xf numFmtId="0" fontId="12" fillId="0" borderId="1" xfId="0" applyFont="1" applyFill="1" applyBorder="1" applyAlignment="1" applyProtection="1">
      <alignment horizontal="center"/>
      <protection hidden="1"/>
    </xf>
    <xf numFmtId="0" fontId="46" fillId="0" borderId="1" xfId="0" applyFont="1" applyFill="1" applyBorder="1" applyAlignment="1" applyProtection="1">
      <alignment horizontal="center" vertical="center"/>
      <protection hidden="1"/>
    </xf>
    <xf numFmtId="0" fontId="2" fillId="0" borderId="26" xfId="0" applyFont="1" applyFill="1" applyBorder="1" applyAlignment="1" applyProtection="1">
      <alignment horizontal="center" vertical="center"/>
      <protection hidden="1"/>
    </xf>
    <xf numFmtId="0" fontId="2" fillId="0" borderId="12" xfId="0" applyFont="1" applyFill="1" applyBorder="1" applyAlignment="1" applyProtection="1">
      <alignment horizontal="center" vertical="center"/>
      <protection hidden="1"/>
    </xf>
    <xf numFmtId="0" fontId="2" fillId="0" borderId="24" xfId="0" applyFont="1" applyFill="1" applyBorder="1" applyAlignment="1" applyProtection="1">
      <alignment horizontal="center" vertical="center"/>
      <protection hidden="1"/>
    </xf>
    <xf numFmtId="0" fontId="2" fillId="0" borderId="1" xfId="0" applyFont="1" applyFill="1" applyBorder="1" applyAlignment="1" applyProtection="1">
      <alignment horizontal="center" vertical="center"/>
      <protection hidden="1"/>
    </xf>
    <xf numFmtId="0" fontId="34" fillId="0" borderId="62" xfId="0" applyFont="1" applyFill="1" applyBorder="1" applyAlignment="1" applyProtection="1">
      <alignment horizontal="center"/>
      <protection hidden="1"/>
    </xf>
    <xf numFmtId="0" fontId="34" fillId="0" borderId="63" xfId="0" applyFont="1" applyFill="1" applyBorder="1" applyAlignment="1" applyProtection="1">
      <alignment horizontal="center"/>
      <protection hidden="1"/>
    </xf>
    <xf numFmtId="0" fontId="34" fillId="0" borderId="64" xfId="0" applyFont="1" applyFill="1" applyBorder="1" applyAlignment="1" applyProtection="1">
      <alignment horizontal="center"/>
      <protection hidden="1"/>
    </xf>
    <xf numFmtId="0" fontId="8" fillId="0" borderId="1" xfId="0" applyFont="1" applyFill="1" applyBorder="1" applyAlignment="1" applyProtection="1">
      <alignment horizontal="center"/>
      <protection hidden="1"/>
    </xf>
    <xf numFmtId="4" fontId="17" fillId="0" borderId="0" xfId="0" applyNumberFormat="1" applyFont="1" applyFill="1" applyBorder="1" applyAlignment="1" applyProtection="1">
      <alignment horizontal="right"/>
      <protection hidden="1"/>
    </xf>
    <xf numFmtId="4" fontId="17" fillId="9" borderId="2" xfId="0" applyNumberFormat="1" applyFont="1" applyFill="1" applyBorder="1" applyAlignment="1" applyProtection="1">
      <alignment horizontal="right"/>
      <protection hidden="1"/>
    </xf>
    <xf numFmtId="4" fontId="17" fillId="9" borderId="35" xfId="0" applyNumberFormat="1" applyFont="1" applyFill="1" applyBorder="1" applyAlignment="1" applyProtection="1">
      <alignment horizontal="right"/>
      <protection hidden="1"/>
    </xf>
    <xf numFmtId="0" fontId="35" fillId="5" borderId="2" xfId="0" applyFont="1" applyFill="1" applyBorder="1" applyAlignment="1" applyProtection="1">
      <alignment horizontal="center"/>
      <protection hidden="1"/>
    </xf>
    <xf numFmtId="0" fontId="35" fillId="5" borderId="8" xfId="0" applyFont="1" applyFill="1" applyBorder="1" applyAlignment="1" applyProtection="1">
      <alignment horizontal="center"/>
      <protection hidden="1"/>
    </xf>
    <xf numFmtId="0" fontId="35" fillId="5" borderId="35" xfId="0" applyFont="1" applyFill="1" applyBorder="1" applyAlignment="1" applyProtection="1">
      <alignment horizontal="center"/>
      <protection hidden="1"/>
    </xf>
    <xf numFmtId="0" fontId="14" fillId="0" borderId="2" xfId="0" applyFont="1" applyBorder="1" applyAlignment="1" applyProtection="1">
      <protection hidden="1"/>
    </xf>
    <xf numFmtId="0" fontId="14" fillId="0" borderId="8" xfId="0" applyFont="1" applyBorder="1" applyAlignment="1" applyProtection="1">
      <protection hidden="1"/>
    </xf>
    <xf numFmtId="0" fontId="14" fillId="0" borderId="35" xfId="0" applyFont="1" applyBorder="1" applyAlignment="1" applyProtection="1">
      <protection hidden="1"/>
    </xf>
    <xf numFmtId="0" fontId="8" fillId="0" borderId="3" xfId="0" applyFont="1" applyFill="1" applyBorder="1" applyAlignment="1" applyProtection="1">
      <alignment horizontal="left" vertical="top" wrapText="1"/>
      <protection locked="0" hidden="1"/>
    </xf>
    <xf numFmtId="0" fontId="8" fillId="0" borderId="4" xfId="0" applyFont="1" applyFill="1" applyBorder="1" applyAlignment="1" applyProtection="1">
      <alignment horizontal="left" vertical="top"/>
      <protection locked="0" hidden="1"/>
    </xf>
    <xf numFmtId="0" fontId="8" fillId="0" borderId="9" xfId="0" applyFont="1" applyFill="1" applyBorder="1" applyAlignment="1" applyProtection="1">
      <alignment horizontal="left" vertical="top"/>
      <protection locked="0" hidden="1"/>
    </xf>
    <xf numFmtId="0" fontId="8" fillId="0" borderId="5" xfId="0" applyFont="1" applyFill="1" applyBorder="1" applyAlignment="1" applyProtection="1">
      <alignment horizontal="left" vertical="top"/>
      <protection locked="0" hidden="1"/>
    </xf>
    <xf numFmtId="0" fontId="8" fillId="0" borderId="0" xfId="0" applyFont="1" applyFill="1" applyBorder="1" applyAlignment="1" applyProtection="1">
      <alignment horizontal="left" vertical="top"/>
      <protection locked="0" hidden="1"/>
    </xf>
    <xf numFmtId="0" fontId="8" fillId="0" borderId="10" xfId="0" applyFont="1" applyFill="1" applyBorder="1" applyAlignment="1" applyProtection="1">
      <alignment horizontal="left" vertical="top"/>
      <protection locked="0" hidden="1"/>
    </xf>
    <xf numFmtId="0" fontId="8" fillId="0" borderId="6" xfId="0" applyFont="1" applyFill="1" applyBorder="1" applyAlignment="1" applyProtection="1">
      <alignment horizontal="left" vertical="top"/>
      <protection locked="0" hidden="1"/>
    </xf>
    <xf numFmtId="0" fontId="8" fillId="0" borderId="7" xfId="0" applyFont="1" applyFill="1" applyBorder="1" applyAlignment="1" applyProtection="1">
      <alignment horizontal="left" vertical="top"/>
      <protection locked="0" hidden="1"/>
    </xf>
    <xf numFmtId="0" fontId="8" fillId="0" borderId="11" xfId="0" applyFont="1" applyFill="1" applyBorder="1" applyAlignment="1" applyProtection="1">
      <alignment horizontal="left" vertical="top"/>
      <protection locked="0" hidden="1"/>
    </xf>
    <xf numFmtId="0" fontId="100" fillId="18" borderId="2" xfId="0" applyFont="1" applyFill="1" applyBorder="1" applyAlignment="1" applyProtection="1">
      <alignment horizontal="left"/>
      <protection hidden="1"/>
    </xf>
    <xf numFmtId="0" fontId="100" fillId="18" borderId="8" xfId="0" applyFont="1" applyFill="1" applyBorder="1" applyAlignment="1" applyProtection="1">
      <alignment horizontal="left"/>
      <protection hidden="1"/>
    </xf>
    <xf numFmtId="0" fontId="100" fillId="18" borderId="35" xfId="0" applyFont="1" applyFill="1" applyBorder="1" applyAlignment="1" applyProtection="1">
      <alignment horizontal="left"/>
      <protection hidden="1"/>
    </xf>
    <xf numFmtId="0" fontId="14" fillId="10" borderId="2" xfId="0" applyFont="1" applyFill="1" applyBorder="1" applyAlignment="1" applyProtection="1">
      <protection hidden="1"/>
    </xf>
    <xf numFmtId="0" fontId="14" fillId="10" borderId="8" xfId="0" applyFont="1" applyFill="1" applyBorder="1" applyAlignment="1" applyProtection="1">
      <protection hidden="1"/>
    </xf>
    <xf numFmtId="0" fontId="14" fillId="10" borderId="35" xfId="0" applyFont="1" applyFill="1" applyBorder="1" applyAlignment="1" applyProtection="1">
      <protection hidden="1"/>
    </xf>
    <xf numFmtId="0" fontId="14" fillId="0" borderId="2" xfId="0" applyFont="1" applyBorder="1" applyAlignment="1" applyProtection="1">
      <alignment horizontal="left"/>
      <protection hidden="1"/>
    </xf>
    <xf numFmtId="0" fontId="14" fillId="0" borderId="8" xfId="0" applyFont="1" applyBorder="1" applyAlignment="1" applyProtection="1">
      <alignment horizontal="left"/>
      <protection hidden="1"/>
    </xf>
    <xf numFmtId="0" fontId="14" fillId="0" borderId="35" xfId="0" applyFont="1" applyBorder="1" applyAlignment="1" applyProtection="1">
      <alignment horizontal="left"/>
      <protection hidden="1"/>
    </xf>
    <xf numFmtId="0" fontId="0" fillId="0" borderId="3" xfId="0" applyFill="1" applyBorder="1" applyAlignment="1" applyProtection="1">
      <alignment horizontal="left" vertical="top" wrapText="1"/>
      <protection hidden="1"/>
    </xf>
    <xf numFmtId="0" fontId="0" fillId="0" borderId="4" xfId="0" applyFill="1" applyBorder="1" applyAlignment="1" applyProtection="1">
      <alignment horizontal="left" vertical="top"/>
      <protection hidden="1"/>
    </xf>
    <xf numFmtId="0" fontId="0" fillId="0" borderId="9" xfId="0" applyFill="1" applyBorder="1" applyAlignment="1" applyProtection="1">
      <alignment horizontal="left" vertical="top"/>
      <protection hidden="1"/>
    </xf>
    <xf numFmtId="0" fontId="0" fillId="0" borderId="5" xfId="0" applyFill="1" applyBorder="1" applyAlignment="1" applyProtection="1">
      <alignment horizontal="left" vertical="top"/>
      <protection hidden="1"/>
    </xf>
    <xf numFmtId="0" fontId="0" fillId="0" borderId="0" xfId="0" applyFill="1" applyBorder="1" applyAlignment="1" applyProtection="1">
      <alignment horizontal="left" vertical="top"/>
      <protection hidden="1"/>
    </xf>
    <xf numFmtId="0" fontId="0" fillId="0" borderId="10" xfId="0" applyFill="1" applyBorder="1" applyAlignment="1" applyProtection="1">
      <alignment horizontal="left" vertical="top"/>
      <protection hidden="1"/>
    </xf>
    <xf numFmtId="0" fontId="0" fillId="0" borderId="6" xfId="0" applyFill="1" applyBorder="1" applyAlignment="1" applyProtection="1">
      <alignment horizontal="left" vertical="top"/>
      <protection hidden="1"/>
    </xf>
    <xf numFmtId="0" fontId="0" fillId="0" borderId="7" xfId="0" applyFill="1" applyBorder="1" applyAlignment="1" applyProtection="1">
      <alignment horizontal="left" vertical="top"/>
      <protection hidden="1"/>
    </xf>
    <xf numFmtId="0" fontId="0" fillId="0" borderId="11" xfId="0" applyFill="1" applyBorder="1" applyAlignment="1" applyProtection="1">
      <alignment horizontal="left" vertical="top"/>
      <protection hidden="1"/>
    </xf>
    <xf numFmtId="0" fontId="3" fillId="0" borderId="27" xfId="0" applyFont="1" applyFill="1" applyBorder="1" applyAlignment="1" applyProtection="1">
      <alignment horizontal="center" vertical="center"/>
      <protection hidden="1"/>
    </xf>
    <xf numFmtId="0" fontId="3" fillId="0" borderId="28" xfId="0" applyFont="1" applyFill="1" applyBorder="1" applyAlignment="1" applyProtection="1">
      <alignment horizontal="center" vertical="center"/>
      <protection hidden="1"/>
    </xf>
    <xf numFmtId="0" fontId="3" fillId="0" borderId="67" xfId="0" applyFont="1" applyFill="1" applyBorder="1" applyAlignment="1" applyProtection="1">
      <alignment horizontal="center" vertical="center"/>
      <protection hidden="1"/>
    </xf>
    <xf numFmtId="0" fontId="3" fillId="0" borderId="30" xfId="0" applyFont="1" applyFill="1" applyBorder="1" applyAlignment="1" applyProtection="1">
      <alignment horizontal="center" vertical="center"/>
      <protection hidden="1"/>
    </xf>
    <xf numFmtId="0" fontId="3" fillId="0" borderId="1" xfId="0" applyFont="1" applyFill="1" applyBorder="1" applyAlignment="1" applyProtection="1">
      <alignment horizontal="center" vertical="center"/>
      <protection hidden="1"/>
    </xf>
    <xf numFmtId="0" fontId="3" fillId="0" borderId="31" xfId="0" applyFont="1" applyFill="1" applyBorder="1" applyAlignment="1" applyProtection="1">
      <alignment horizontal="center" vertical="center"/>
      <protection hidden="1"/>
    </xf>
    <xf numFmtId="0" fontId="8" fillId="0" borderId="62" xfId="0" applyFont="1" applyFill="1" applyBorder="1" applyAlignment="1" applyProtection="1">
      <alignment horizontal="left" vertical="top" wrapText="1"/>
      <protection hidden="1"/>
    </xf>
    <xf numFmtId="0" fontId="0" fillId="0" borderId="63" xfId="0" applyFill="1" applyBorder="1" applyAlignment="1" applyProtection="1">
      <alignment horizontal="left" vertical="top" wrapText="1"/>
      <protection hidden="1"/>
    </xf>
    <xf numFmtId="0" fontId="0" fillId="0" borderId="64" xfId="0" applyFill="1" applyBorder="1" applyAlignment="1" applyProtection="1">
      <alignment horizontal="left" vertical="top" wrapText="1"/>
      <protection hidden="1"/>
    </xf>
    <xf numFmtId="0" fontId="36" fillId="0" borderId="7" xfId="0" applyFont="1" applyBorder="1" applyAlignment="1" applyProtection="1">
      <alignment horizontal="left"/>
      <protection hidden="1"/>
    </xf>
    <xf numFmtId="0" fontId="36" fillId="0" borderId="7" xfId="0" applyFont="1" applyBorder="1" applyAlignment="1" applyProtection="1">
      <alignment horizontal="left" wrapText="1"/>
      <protection hidden="1"/>
    </xf>
    <xf numFmtId="0" fontId="0" fillId="10" borderId="91" xfId="0" applyFill="1" applyBorder="1" applyAlignment="1">
      <alignment horizontal="left" vertical="top" wrapText="1"/>
    </xf>
    <xf numFmtId="0" fontId="8" fillId="10" borderId="91" xfId="0" applyFont="1" applyFill="1" applyBorder="1" applyAlignment="1">
      <alignment horizontal="left" vertical="top" wrapText="1"/>
    </xf>
    <xf numFmtId="0" fontId="0" fillId="10" borderId="91" xfId="0" applyFill="1" applyBorder="1" applyAlignment="1">
      <alignment horizontal="left" vertical="top"/>
    </xf>
    <xf numFmtId="0" fontId="8" fillId="10" borderId="91" xfId="0" applyFont="1" applyFill="1" applyBorder="1" applyAlignment="1">
      <alignment horizontal="center"/>
    </xf>
    <xf numFmtId="0" fontId="0" fillId="10" borderId="91" xfId="0" applyFill="1" applyBorder="1" applyAlignment="1">
      <alignment horizontal="center"/>
    </xf>
    <xf numFmtId="0" fontId="8" fillId="10" borderId="106" xfId="0" applyFont="1" applyFill="1" applyBorder="1" applyAlignment="1">
      <alignment horizontal="left" vertical="top" wrapText="1"/>
    </xf>
    <xf numFmtId="0" fontId="0" fillId="10" borderId="106" xfId="0" applyFill="1" applyBorder="1" applyAlignment="1">
      <alignment horizontal="left" vertical="top"/>
    </xf>
    <xf numFmtId="0" fontId="43" fillId="10" borderId="91" xfId="0" applyFont="1" applyFill="1" applyBorder="1" applyAlignment="1">
      <alignment horizontal="left" vertical="top" wrapText="1"/>
    </xf>
    <xf numFmtId="0" fontId="8" fillId="0" borderId="0" xfId="0" applyFont="1" applyAlignment="1">
      <alignment horizontal="center"/>
    </xf>
    <xf numFmtId="0" fontId="102" fillId="0" borderId="1" xfId="0" applyFont="1" applyBorder="1" applyAlignment="1">
      <alignment horizontal="center" vertical="center" wrapText="1"/>
    </xf>
    <xf numFmtId="0" fontId="101" fillId="0" borderId="26" xfId="0" applyFont="1" applyBorder="1" applyAlignment="1">
      <alignment horizontal="center" vertical="center" wrapText="1"/>
    </xf>
    <xf numFmtId="0" fontId="101" fillId="0" borderId="12" xfId="0" applyFont="1" applyBorder="1" applyAlignment="1">
      <alignment horizontal="center" vertical="center" wrapText="1"/>
    </xf>
    <xf numFmtId="0" fontId="101" fillId="0" borderId="24" xfId="0" applyFont="1" applyBorder="1" applyAlignment="1">
      <alignment horizontal="center" vertical="center" wrapText="1"/>
    </xf>
    <xf numFmtId="0" fontId="102" fillId="0" borderId="26" xfId="0" applyFont="1" applyBorder="1" applyAlignment="1">
      <alignment horizontal="center" vertical="center" wrapText="1"/>
    </xf>
    <xf numFmtId="0" fontId="102" fillId="0" borderId="12" xfId="0" applyFont="1" applyBorder="1" applyAlignment="1">
      <alignment horizontal="center" vertical="center" wrapText="1"/>
    </xf>
    <xf numFmtId="0" fontId="102" fillId="0" borderId="24" xfId="0" applyFont="1" applyBorder="1" applyAlignment="1">
      <alignment horizontal="center" vertical="center" wrapText="1"/>
    </xf>
    <xf numFmtId="0" fontId="101" fillId="0" borderId="1" xfId="0" applyFont="1" applyBorder="1" applyAlignment="1">
      <alignment horizontal="center" vertical="center" wrapText="1"/>
    </xf>
    <xf numFmtId="0" fontId="83" fillId="0" borderId="1" xfId="0" applyFont="1" applyBorder="1" applyAlignment="1">
      <alignment horizontal="center"/>
    </xf>
    <xf numFmtId="0" fontId="81" fillId="0" borderId="1" xfId="0" applyFont="1" applyBorder="1" applyAlignment="1">
      <alignment horizontal="center"/>
    </xf>
    <xf numFmtId="0" fontId="80" fillId="15" borderId="92" xfId="0" applyFont="1" applyFill="1" applyBorder="1" applyAlignment="1">
      <alignment horizontal="center" vertical="center" wrapText="1"/>
    </xf>
    <xf numFmtId="0" fontId="80" fillId="15" borderId="108" xfId="0" applyFont="1" applyFill="1" applyBorder="1" applyAlignment="1">
      <alignment horizontal="center" vertical="center" wrapText="1"/>
    </xf>
    <xf numFmtId="0" fontId="80" fillId="15" borderId="93" xfId="0" applyFont="1" applyFill="1" applyBorder="1" applyAlignment="1">
      <alignment horizontal="center" vertical="center" wrapText="1"/>
    </xf>
    <xf numFmtId="0" fontId="80" fillId="15" borderId="109" xfId="0" applyFont="1" applyFill="1" applyBorder="1" applyAlignment="1">
      <alignment horizontal="center" vertical="center" wrapText="1"/>
    </xf>
    <xf numFmtId="0" fontId="80" fillId="15" borderId="94" xfId="0" applyFont="1" applyFill="1" applyBorder="1" applyAlignment="1">
      <alignment horizontal="center" vertical="center" wrapText="1"/>
    </xf>
    <xf numFmtId="0" fontId="80" fillId="15" borderId="110" xfId="0" applyFont="1" applyFill="1" applyBorder="1" applyAlignment="1">
      <alignment horizontal="center" vertical="center" wrapText="1"/>
    </xf>
  </cellXfs>
  <cellStyles count="3">
    <cellStyle name="Currency" xfId="2" builtinId="4"/>
    <cellStyle name="Euro" xfId="1"/>
    <cellStyle name="Normal" xfId="0" builtinId="0"/>
  </cellStyles>
  <dxfs count="26">
    <dxf>
      <font>
        <color rgb="FF9C0006"/>
      </font>
      <fill>
        <patternFill>
          <bgColor rgb="FFFFC7CE"/>
        </patternFill>
      </fill>
    </dxf>
    <dxf>
      <font>
        <color rgb="FFFF0000"/>
      </font>
      <fill>
        <patternFill>
          <bgColor theme="9" tint="0.79998168889431442"/>
        </patternFill>
      </fill>
    </dxf>
    <dxf>
      <font>
        <color rgb="FF9C0006"/>
      </font>
      <fill>
        <patternFill>
          <bgColor rgb="FFFFC7CE"/>
        </patternFill>
      </fill>
    </dxf>
    <dxf>
      <fill>
        <patternFill>
          <bgColor theme="5" tint="0.59996337778862885"/>
        </patternFill>
      </fill>
    </dxf>
    <dxf>
      <fill>
        <patternFill>
          <bgColor theme="5" tint="0.59996337778862885"/>
        </patternFill>
      </fill>
    </dxf>
    <dxf>
      <font>
        <color rgb="FFFF0000"/>
      </font>
      <fill>
        <patternFill>
          <bgColor theme="9" tint="0.79998168889431442"/>
        </patternFill>
      </fill>
    </dxf>
    <dxf>
      <numFmt numFmtId="173" formatCode="[$¥-804]#,##0.00"/>
    </dxf>
    <dxf>
      <numFmt numFmtId="174" formatCode="[$£-809]#,##0.00"/>
    </dxf>
    <dxf>
      <numFmt numFmtId="170" formatCode="&quot;€&quot;\ #,##0.00"/>
    </dxf>
    <dxf>
      <font>
        <color theme="0"/>
      </font>
    </dxf>
    <dxf>
      <font>
        <color theme="0"/>
      </font>
    </dxf>
    <dxf>
      <numFmt numFmtId="173" formatCode="[$¥-804]#,##0.00"/>
    </dxf>
    <dxf>
      <numFmt numFmtId="174" formatCode="[$£-809]#,##0.00"/>
    </dxf>
    <dxf>
      <numFmt numFmtId="170" formatCode="&quot;€&quot;\ #,##0.00"/>
    </dxf>
    <dxf>
      <font>
        <color theme="0"/>
      </font>
      <fill>
        <patternFill>
          <bgColor theme="0"/>
        </patternFill>
      </fill>
      <border>
        <left/>
        <right/>
        <top/>
        <bottom/>
        <vertical/>
        <horizontal/>
      </border>
    </dxf>
    <dxf>
      <font>
        <strike/>
        <color theme="0" tint="-0.499984740745262"/>
        <name val="Cambria"/>
        <scheme val="none"/>
      </font>
    </dxf>
    <dxf>
      <font>
        <color theme="0" tint="-0.34998626667073579"/>
      </font>
    </dxf>
    <dxf>
      <font>
        <strike/>
        <color theme="0" tint="-0.499984740745262"/>
        <name val="Cambria"/>
        <scheme val="none"/>
      </font>
    </dxf>
    <dxf>
      <font>
        <color theme="0" tint="-0.34998626667073579"/>
      </font>
    </dxf>
    <dxf>
      <font>
        <strike/>
        <color theme="0" tint="-0.499984740745262"/>
        <name val="Cambria"/>
        <scheme val="none"/>
      </font>
    </dxf>
    <dxf>
      <font>
        <color theme="2"/>
      </font>
      <fill>
        <patternFill>
          <bgColor theme="2"/>
        </patternFill>
      </fill>
      <border>
        <left style="thin">
          <color theme="0" tint="-0.24994659260841701"/>
        </left>
        <right style="thin">
          <color theme="0" tint="-0.24994659260841701"/>
        </right>
        <top style="thin">
          <color theme="0" tint="-0.24994659260841701"/>
        </top>
        <bottom style="thin">
          <color theme="0" tint="-0.24994659260841701"/>
        </bottom>
      </border>
    </dxf>
    <dxf>
      <font>
        <color theme="0" tint="-0.34998626667073579"/>
      </font>
    </dxf>
    <dxf>
      <font>
        <color theme="0" tint="-0.499984740745262"/>
      </font>
      <fill>
        <patternFill>
          <bgColor theme="0" tint="-4.9989318521683403E-2"/>
        </patternFill>
      </fill>
    </dxf>
    <dxf>
      <numFmt numFmtId="173" formatCode="[$¥-804]#,##0.00"/>
    </dxf>
    <dxf>
      <numFmt numFmtId="174" formatCode="[$£-809]#,##0.00"/>
    </dxf>
    <dxf>
      <numFmt numFmtId="170" formatCode="&quot;€&quot;\ #,##0.00"/>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00"/>
                </a:solidFill>
                <a:latin typeface="Arial"/>
                <a:ea typeface="Arial"/>
                <a:cs typeface="Arial"/>
              </a:defRPr>
            </a:pPr>
            <a:r>
              <a:rPr lang="it-IT"/>
              <a:t>Psychrometric diagram</a:t>
            </a:r>
          </a:p>
        </c:rich>
      </c:tx>
      <c:layout>
        <c:manualLayout>
          <c:xMode val="edge"/>
          <c:yMode val="edge"/>
          <c:x val="0.43135496861593603"/>
          <c:y val="1.4403292181069957E-2"/>
        </c:manualLayout>
      </c:layout>
      <c:overlay val="0"/>
      <c:spPr>
        <a:noFill/>
        <a:ln w="25400">
          <a:noFill/>
        </a:ln>
      </c:spPr>
    </c:title>
    <c:autoTitleDeleted val="0"/>
    <c:plotArea>
      <c:layout>
        <c:manualLayout>
          <c:layoutTarget val="inner"/>
          <c:xMode val="edge"/>
          <c:yMode val="edge"/>
          <c:x val="4.0816386616046293E-2"/>
          <c:y val="6.3786232530194942E-2"/>
          <c:w val="0.92115163431213576"/>
          <c:h val="0.86008532895553169"/>
        </c:manualLayout>
      </c:layout>
      <c:scatterChart>
        <c:scatterStyle val="smoothMarker"/>
        <c:varyColors val="0"/>
        <c:ser>
          <c:idx val="1"/>
          <c:order val="0"/>
          <c:tx>
            <c:strRef>
              <c:f>GRAFICI!$E$21</c:f>
              <c:strCache>
                <c:ptCount val="1"/>
                <c:pt idx="0">
                  <c:v>20%</c:v>
                </c:pt>
              </c:strCache>
            </c:strRef>
          </c:tx>
          <c:spPr>
            <a:ln w="12700">
              <a:solidFill>
                <a:srgbClr val="000080"/>
              </a:solidFill>
              <a:prstDash val="solid"/>
            </a:ln>
          </c:spPr>
          <c:marker>
            <c:symbol val="none"/>
          </c:marker>
          <c:xVal>
            <c:numRef>
              <c:f>GRAFICI!$A$22:$A$52</c:f>
              <c:numCache>
                <c:formatCode>General</c:formatCode>
                <c:ptCount val="31"/>
                <c:pt idx="0">
                  <c:v>-5</c:v>
                </c:pt>
                <c:pt idx="1">
                  <c:v>-3</c:v>
                </c:pt>
                <c:pt idx="2">
                  <c:v>-1</c:v>
                </c:pt>
                <c:pt idx="3">
                  <c:v>1</c:v>
                </c:pt>
                <c:pt idx="4">
                  <c:v>3</c:v>
                </c:pt>
                <c:pt idx="5">
                  <c:v>5</c:v>
                </c:pt>
                <c:pt idx="6">
                  <c:v>7</c:v>
                </c:pt>
                <c:pt idx="7">
                  <c:v>9</c:v>
                </c:pt>
                <c:pt idx="8">
                  <c:v>11</c:v>
                </c:pt>
                <c:pt idx="9">
                  <c:v>13</c:v>
                </c:pt>
                <c:pt idx="10">
                  <c:v>15</c:v>
                </c:pt>
                <c:pt idx="11">
                  <c:v>17</c:v>
                </c:pt>
                <c:pt idx="12">
                  <c:v>19</c:v>
                </c:pt>
                <c:pt idx="13">
                  <c:v>21</c:v>
                </c:pt>
                <c:pt idx="14">
                  <c:v>23</c:v>
                </c:pt>
                <c:pt idx="15">
                  <c:v>25</c:v>
                </c:pt>
                <c:pt idx="16">
                  <c:v>27</c:v>
                </c:pt>
                <c:pt idx="17">
                  <c:v>29</c:v>
                </c:pt>
                <c:pt idx="18">
                  <c:v>31</c:v>
                </c:pt>
                <c:pt idx="19">
                  <c:v>33</c:v>
                </c:pt>
                <c:pt idx="20">
                  <c:v>35</c:v>
                </c:pt>
                <c:pt idx="21">
                  <c:v>37</c:v>
                </c:pt>
                <c:pt idx="22">
                  <c:v>39</c:v>
                </c:pt>
                <c:pt idx="23">
                  <c:v>41</c:v>
                </c:pt>
                <c:pt idx="24">
                  <c:v>43</c:v>
                </c:pt>
                <c:pt idx="25">
                  <c:v>45</c:v>
                </c:pt>
                <c:pt idx="26">
                  <c:v>47</c:v>
                </c:pt>
                <c:pt idx="27">
                  <c:v>49</c:v>
                </c:pt>
                <c:pt idx="28">
                  <c:v>51</c:v>
                </c:pt>
                <c:pt idx="29">
                  <c:v>53</c:v>
                </c:pt>
                <c:pt idx="30">
                  <c:v>55</c:v>
                </c:pt>
              </c:numCache>
            </c:numRef>
          </c:xVal>
          <c:yVal>
            <c:numRef>
              <c:f>GRAFICI!$E$22:$E$52</c:f>
              <c:numCache>
                <c:formatCode>0.00</c:formatCode>
                <c:ptCount val="31"/>
                <c:pt idx="0">
                  <c:v>0.49593792702886635</c:v>
                </c:pt>
                <c:pt idx="1">
                  <c:v>0.58772940796775253</c:v>
                </c:pt>
                <c:pt idx="2">
                  <c:v>0.69477727756481966</c:v>
                </c:pt>
                <c:pt idx="3">
                  <c:v>0.81096511761299817</c:v>
                </c:pt>
                <c:pt idx="4">
                  <c:v>0.93575789000272536</c:v>
                </c:pt>
                <c:pt idx="5">
                  <c:v>1.0772930861124963</c:v>
                </c:pt>
                <c:pt idx="6">
                  <c:v>1.2374764724863387</c:v>
                </c:pt>
                <c:pt idx="7">
                  <c:v>1.4183907075022681</c:v>
                </c:pt>
                <c:pt idx="8">
                  <c:v>1.6223080467242537</c:v>
                </c:pt>
                <c:pt idx="9">
                  <c:v>1.8517037608535545</c:v>
                </c:pt>
                <c:pt idx="10">
                  <c:v>2.1092703208125512</c:v>
                </c:pt>
                <c:pt idx="11">
                  <c:v>2.3979324140067559</c:v>
                </c:pt>
                <c:pt idx="12">
                  <c:v>2.7208628669194486</c:v>
                </c:pt>
                <c:pt idx="13">
                  <c:v>3.0814995621039651</c:v>
                </c:pt>
                <c:pt idx="14">
                  <c:v>3.4835634525897849</c:v>
                </c:pt>
                <c:pt idx="15">
                  <c:v>3.9310777939825301</c:v>
                </c:pt>
                <c:pt idx="16">
                  <c:v>4.4283887344358392</c:v>
                </c:pt>
                <c:pt idx="17">
                  <c:v>4.980187425567653</c:v>
                </c:pt>
                <c:pt idx="18">
                  <c:v>5.591533843722484</c:v>
                </c:pt>
                <c:pt idx="19">
                  <c:v>6.2678825412555703</c:v>
                </c:pt>
                <c:pt idx="20">
                  <c:v>7.0151105823329667</c:v>
                </c:pt>
                <c:pt idx="21">
                  <c:v>7.8395479578363085</c:v>
                </c:pt>
                <c:pt idx="22">
                  <c:v>8.748010820180312</c:v>
                </c:pt>
                <c:pt idx="23">
                  <c:v>9.7478379322440727</c:v>
                </c:pt>
                <c:pt idx="24">
                  <c:v>10.846930786422432</c:v>
                </c:pt>
                <c:pt idx="25">
                  <c:v>12.05379792153896</c:v>
                </c:pt>
                <c:pt idx="26">
                  <c:v>13.377604048853339</c:v>
                </c:pt>
                <c:pt idx="27">
                  <c:v>14.828224695884733</c:v>
                </c:pt>
                <c:pt idx="28">
                  <c:v>16.416307190974901</c:v>
                </c:pt>
                <c:pt idx="29">
                  <c:v>18.153338945783229</c:v>
                </c:pt>
                <c:pt idx="30">
                  <c:v>20.051724151341272</c:v>
                </c:pt>
              </c:numCache>
            </c:numRef>
          </c:yVal>
          <c:smooth val="1"/>
        </c:ser>
        <c:ser>
          <c:idx val="2"/>
          <c:order val="1"/>
          <c:tx>
            <c:strRef>
              <c:f>GRAFICI!$F$21</c:f>
              <c:strCache>
                <c:ptCount val="1"/>
                <c:pt idx="0">
                  <c:v>30%</c:v>
                </c:pt>
              </c:strCache>
            </c:strRef>
          </c:tx>
          <c:spPr>
            <a:ln w="12700">
              <a:solidFill>
                <a:srgbClr val="000080"/>
              </a:solidFill>
              <a:prstDash val="solid"/>
            </a:ln>
          </c:spPr>
          <c:marker>
            <c:symbol val="none"/>
          </c:marker>
          <c:xVal>
            <c:numRef>
              <c:f>GRAFICI!$A$22:$A$52</c:f>
              <c:numCache>
                <c:formatCode>General</c:formatCode>
                <c:ptCount val="31"/>
                <c:pt idx="0">
                  <c:v>-5</c:v>
                </c:pt>
                <c:pt idx="1">
                  <c:v>-3</c:v>
                </c:pt>
                <c:pt idx="2">
                  <c:v>-1</c:v>
                </c:pt>
                <c:pt idx="3">
                  <c:v>1</c:v>
                </c:pt>
                <c:pt idx="4">
                  <c:v>3</c:v>
                </c:pt>
                <c:pt idx="5">
                  <c:v>5</c:v>
                </c:pt>
                <c:pt idx="6">
                  <c:v>7</c:v>
                </c:pt>
                <c:pt idx="7">
                  <c:v>9</c:v>
                </c:pt>
                <c:pt idx="8">
                  <c:v>11</c:v>
                </c:pt>
                <c:pt idx="9">
                  <c:v>13</c:v>
                </c:pt>
                <c:pt idx="10">
                  <c:v>15</c:v>
                </c:pt>
                <c:pt idx="11">
                  <c:v>17</c:v>
                </c:pt>
                <c:pt idx="12">
                  <c:v>19</c:v>
                </c:pt>
                <c:pt idx="13">
                  <c:v>21</c:v>
                </c:pt>
                <c:pt idx="14">
                  <c:v>23</c:v>
                </c:pt>
                <c:pt idx="15">
                  <c:v>25</c:v>
                </c:pt>
                <c:pt idx="16">
                  <c:v>27</c:v>
                </c:pt>
                <c:pt idx="17">
                  <c:v>29</c:v>
                </c:pt>
                <c:pt idx="18">
                  <c:v>31</c:v>
                </c:pt>
                <c:pt idx="19">
                  <c:v>33</c:v>
                </c:pt>
                <c:pt idx="20">
                  <c:v>35</c:v>
                </c:pt>
                <c:pt idx="21">
                  <c:v>37</c:v>
                </c:pt>
                <c:pt idx="22">
                  <c:v>39</c:v>
                </c:pt>
                <c:pt idx="23">
                  <c:v>41</c:v>
                </c:pt>
                <c:pt idx="24">
                  <c:v>43</c:v>
                </c:pt>
                <c:pt idx="25">
                  <c:v>45</c:v>
                </c:pt>
                <c:pt idx="26">
                  <c:v>47</c:v>
                </c:pt>
                <c:pt idx="27">
                  <c:v>49</c:v>
                </c:pt>
                <c:pt idx="28">
                  <c:v>51</c:v>
                </c:pt>
                <c:pt idx="29">
                  <c:v>53</c:v>
                </c:pt>
                <c:pt idx="30">
                  <c:v>55</c:v>
                </c:pt>
              </c:numCache>
            </c:numRef>
          </c:xVal>
          <c:yVal>
            <c:numRef>
              <c:f>GRAFICI!$F$22:$F$52</c:f>
              <c:numCache>
                <c:formatCode>0.00</c:formatCode>
                <c:ptCount val="31"/>
                <c:pt idx="0">
                  <c:v>0.74420358720905089</c:v>
                </c:pt>
                <c:pt idx="1">
                  <c:v>0.88201083250889079</c:v>
                </c:pt>
                <c:pt idx="2">
                  <c:v>1.0427483127538022</c:v>
                </c:pt>
                <c:pt idx="3">
                  <c:v>1.2172412229736889</c:v>
                </c:pt>
                <c:pt idx="4">
                  <c:v>1.4046935032480024</c:v>
                </c:pt>
                <c:pt idx="5">
                  <c:v>1.6173402766959766</c:v>
                </c:pt>
                <c:pt idx="6">
                  <c:v>1.8580630875803359</c:v>
                </c:pt>
                <c:pt idx="7">
                  <c:v>2.1300147511871033</c:v>
                </c:pt>
                <c:pt idx="8">
                  <c:v>2.4366398092174313</c:v>
                </c:pt>
                <c:pt idx="9">
                  <c:v>2.7816963512671431</c:v>
                </c:pt>
                <c:pt idx="10">
                  <c:v>3.1692793411924121</c:v>
                </c:pt>
                <c:pt idx="11">
                  <c:v>3.6038456114332442</c:v>
                </c:pt>
                <c:pt idx="12">
                  <c:v>4.0902407167293049</c:v>
                </c:pt>
                <c:pt idx="13">
                  <c:v>4.6337278717321482</c:v>
                </c:pt>
                <c:pt idx="14">
                  <c:v>5.2400192355261668</c:v>
                </c:pt>
                <c:pt idx="15">
                  <c:v>5.9153098508819344</c:v>
                </c:pt>
                <c:pt idx="16">
                  <c:v>6.6663145982187251</c:v>
                </c:pt>
                <c:pt idx="17">
                  <c:v>7.5003085849757865</c:v>
                </c:pt>
                <c:pt idx="18">
                  <c:v>8.4251714618828704</c:v>
                </c:pt>
                <c:pt idx="19">
                  <c:v>9.4494362402855501</c:v>
                </c:pt>
                <c:pt idx="20">
                  <c:v>10.582343281405867</c:v>
                </c:pt>
                <c:pt idx="21">
                  <c:v>11.833900241904676</c:v>
                </c:pt>
                <c:pt idx="22">
                  <c:v>13.214948893627476</c:v>
                </c:pt>
                <c:pt idx="23">
                  <c:v>14.737239893033049</c:v>
                </c:pt>
                <c:pt idx="24">
                  <c:v>16.413516762517997</c:v>
                </c:pt>
                <c:pt idx="25">
                  <c:v>18.257610567889564</c:v>
                </c:pt>
                <c:pt idx="26">
                  <c:v>20.284547041341202</c:v>
                </c:pt>
                <c:pt idx="27">
                  <c:v>22.510668217159484</c:v>
                </c:pt>
                <c:pt idx="28">
                  <c:v>24.95377103020418</c:v>
                </c:pt>
                <c:pt idx="29">
                  <c:v>27.633265790351722</c:v>
                </c:pt>
                <c:pt idx="30">
                  <c:v>30.570358009067256</c:v>
                </c:pt>
              </c:numCache>
            </c:numRef>
          </c:yVal>
          <c:smooth val="1"/>
        </c:ser>
        <c:ser>
          <c:idx val="3"/>
          <c:order val="2"/>
          <c:tx>
            <c:strRef>
              <c:f>GRAFICI!$G$21</c:f>
              <c:strCache>
                <c:ptCount val="1"/>
                <c:pt idx="0">
                  <c:v>40%</c:v>
                </c:pt>
              </c:strCache>
            </c:strRef>
          </c:tx>
          <c:spPr>
            <a:ln w="12700">
              <a:solidFill>
                <a:srgbClr val="000080"/>
              </a:solidFill>
              <a:prstDash val="solid"/>
            </a:ln>
          </c:spPr>
          <c:marker>
            <c:symbol val="none"/>
          </c:marker>
          <c:xVal>
            <c:numRef>
              <c:f>GRAFICI!$A$22:$A$52</c:f>
              <c:numCache>
                <c:formatCode>General</c:formatCode>
                <c:ptCount val="31"/>
                <c:pt idx="0">
                  <c:v>-5</c:v>
                </c:pt>
                <c:pt idx="1">
                  <c:v>-3</c:v>
                </c:pt>
                <c:pt idx="2">
                  <c:v>-1</c:v>
                </c:pt>
                <c:pt idx="3">
                  <c:v>1</c:v>
                </c:pt>
                <c:pt idx="4">
                  <c:v>3</c:v>
                </c:pt>
                <c:pt idx="5">
                  <c:v>5</c:v>
                </c:pt>
                <c:pt idx="6">
                  <c:v>7</c:v>
                </c:pt>
                <c:pt idx="7">
                  <c:v>9</c:v>
                </c:pt>
                <c:pt idx="8">
                  <c:v>11</c:v>
                </c:pt>
                <c:pt idx="9">
                  <c:v>13</c:v>
                </c:pt>
                <c:pt idx="10">
                  <c:v>15</c:v>
                </c:pt>
                <c:pt idx="11">
                  <c:v>17</c:v>
                </c:pt>
                <c:pt idx="12">
                  <c:v>19</c:v>
                </c:pt>
                <c:pt idx="13">
                  <c:v>21</c:v>
                </c:pt>
                <c:pt idx="14">
                  <c:v>23</c:v>
                </c:pt>
                <c:pt idx="15">
                  <c:v>25</c:v>
                </c:pt>
                <c:pt idx="16">
                  <c:v>27</c:v>
                </c:pt>
                <c:pt idx="17">
                  <c:v>29</c:v>
                </c:pt>
                <c:pt idx="18">
                  <c:v>31</c:v>
                </c:pt>
                <c:pt idx="19">
                  <c:v>33</c:v>
                </c:pt>
                <c:pt idx="20">
                  <c:v>35</c:v>
                </c:pt>
                <c:pt idx="21">
                  <c:v>37</c:v>
                </c:pt>
                <c:pt idx="22">
                  <c:v>39</c:v>
                </c:pt>
                <c:pt idx="23">
                  <c:v>41</c:v>
                </c:pt>
                <c:pt idx="24">
                  <c:v>43</c:v>
                </c:pt>
                <c:pt idx="25">
                  <c:v>45</c:v>
                </c:pt>
                <c:pt idx="26">
                  <c:v>47</c:v>
                </c:pt>
                <c:pt idx="27">
                  <c:v>49</c:v>
                </c:pt>
                <c:pt idx="28">
                  <c:v>51</c:v>
                </c:pt>
                <c:pt idx="29">
                  <c:v>53</c:v>
                </c:pt>
                <c:pt idx="30">
                  <c:v>55</c:v>
                </c:pt>
              </c:numCache>
            </c:numRef>
          </c:xVal>
          <c:yVal>
            <c:numRef>
              <c:f>GRAFICI!$G$22:$G$52</c:f>
              <c:numCache>
                <c:formatCode>0.00</c:formatCode>
                <c:ptCount val="31"/>
                <c:pt idx="0">
                  <c:v>0.99266736084761031</c:v>
                </c:pt>
                <c:pt idx="1">
                  <c:v>1.176570596282116</c:v>
                </c:pt>
                <c:pt idx="2">
                  <c:v>1.3911084805982192</c:v>
                </c:pt>
                <c:pt idx="3">
                  <c:v>1.6240477407198417</c:v>
                </c:pt>
                <c:pt idx="4">
                  <c:v>1.8743356848345409</c:v>
                </c:pt>
                <c:pt idx="5">
                  <c:v>2.1583244725431028</c:v>
                </c:pt>
                <c:pt idx="6">
                  <c:v>2.4798868683367643</c:v>
                </c:pt>
                <c:pt idx="7">
                  <c:v>2.843265323029148</c:v>
                </c:pt>
                <c:pt idx="8">
                  <c:v>3.2531011446781597</c:v>
                </c:pt>
                <c:pt idx="9">
                  <c:v>3.7144659005579168</c:v>
                </c:pt>
                <c:pt idx="10">
                  <c:v>4.2328953161507519</c:v>
                </c:pt>
                <c:pt idx="11">
                  <c:v>4.8144259845187278</c:v>
                </c:pt>
                <c:pt idx="12">
                  <c:v>5.4656352550608345</c:v>
                </c:pt>
                <c:pt idx="13">
                  <c:v>6.1936847359666549</c:v>
                </c:pt>
                <c:pt idx="14">
                  <c:v>7.006367921331452</c:v>
                </c:pt>
                <c:pt idx="15">
                  <c:v>7.9121625439425394</c:v>
                </c:pt>
                <c:pt idx="16">
                  <c:v>8.9202883606758139</c:v>
                </c:pt>
                <c:pt idx="17">
                  <c:v>10.040771202279384</c:v>
                </c:pt>
                <c:pt idx="18">
                  <c:v>11.284514266808987</c:v>
                </c:pt>
                <c:pt idx="19">
                  <c:v>12.663377810722906</c:v>
                </c:pt>
                <c:pt idx="20">
                  <c:v>14.190268599338051</c:v>
                </c:pt>
                <c:pt idx="21">
                  <c:v>15.879240726127133</c:v>
                </c:pt>
                <c:pt idx="22">
                  <c:v>17.745609707063885</c:v>
                </c:pt>
                <c:pt idx="23">
                  <c:v>19.806082113099372</c:v>
                </c:pt>
                <c:pt idx="24">
                  <c:v>22.078903434961212</c:v>
                </c:pt>
                <c:pt idx="25">
                  <c:v>24.584027397709203</c:v>
                </c:pt>
                <c:pt idx="26">
                  <c:v>27.343310580636313</c:v>
                </c:pt>
                <c:pt idx="27">
                  <c:v>30.380736980392633</c:v>
                </c:pt>
                <c:pt idx="28">
                  <c:v>33.722678119220276</c:v>
                </c:pt>
                <c:pt idx="29">
                  <c:v>37.398195494665146</c:v>
                </c:pt>
                <c:pt idx="30">
                  <c:v>41.439393655555705</c:v>
                </c:pt>
              </c:numCache>
            </c:numRef>
          </c:yVal>
          <c:smooth val="1"/>
        </c:ser>
        <c:ser>
          <c:idx val="4"/>
          <c:order val="3"/>
          <c:tx>
            <c:strRef>
              <c:f>GRAFICI!$H$21</c:f>
              <c:strCache>
                <c:ptCount val="1"/>
                <c:pt idx="0">
                  <c:v>50%</c:v>
                </c:pt>
              </c:strCache>
            </c:strRef>
          </c:tx>
          <c:spPr>
            <a:ln w="12700">
              <a:solidFill>
                <a:srgbClr val="000080"/>
              </a:solidFill>
              <a:prstDash val="solid"/>
            </a:ln>
          </c:spPr>
          <c:marker>
            <c:symbol val="none"/>
          </c:marker>
          <c:xVal>
            <c:numRef>
              <c:f>GRAFICI!$A$22:$A$52</c:f>
              <c:numCache>
                <c:formatCode>General</c:formatCode>
                <c:ptCount val="31"/>
                <c:pt idx="0">
                  <c:v>-5</c:v>
                </c:pt>
                <c:pt idx="1">
                  <c:v>-3</c:v>
                </c:pt>
                <c:pt idx="2">
                  <c:v>-1</c:v>
                </c:pt>
                <c:pt idx="3">
                  <c:v>1</c:v>
                </c:pt>
                <c:pt idx="4">
                  <c:v>3</c:v>
                </c:pt>
                <c:pt idx="5">
                  <c:v>5</c:v>
                </c:pt>
                <c:pt idx="6">
                  <c:v>7</c:v>
                </c:pt>
                <c:pt idx="7">
                  <c:v>9</c:v>
                </c:pt>
                <c:pt idx="8">
                  <c:v>11</c:v>
                </c:pt>
                <c:pt idx="9">
                  <c:v>13</c:v>
                </c:pt>
                <c:pt idx="10">
                  <c:v>15</c:v>
                </c:pt>
                <c:pt idx="11">
                  <c:v>17</c:v>
                </c:pt>
                <c:pt idx="12">
                  <c:v>19</c:v>
                </c:pt>
                <c:pt idx="13">
                  <c:v>21</c:v>
                </c:pt>
                <c:pt idx="14">
                  <c:v>23</c:v>
                </c:pt>
                <c:pt idx="15">
                  <c:v>25</c:v>
                </c:pt>
                <c:pt idx="16">
                  <c:v>27</c:v>
                </c:pt>
                <c:pt idx="17">
                  <c:v>29</c:v>
                </c:pt>
                <c:pt idx="18">
                  <c:v>31</c:v>
                </c:pt>
                <c:pt idx="19">
                  <c:v>33</c:v>
                </c:pt>
                <c:pt idx="20">
                  <c:v>35</c:v>
                </c:pt>
                <c:pt idx="21">
                  <c:v>37</c:v>
                </c:pt>
                <c:pt idx="22">
                  <c:v>39</c:v>
                </c:pt>
                <c:pt idx="23">
                  <c:v>41</c:v>
                </c:pt>
                <c:pt idx="24">
                  <c:v>43</c:v>
                </c:pt>
                <c:pt idx="25">
                  <c:v>45</c:v>
                </c:pt>
                <c:pt idx="26">
                  <c:v>47</c:v>
                </c:pt>
                <c:pt idx="27">
                  <c:v>49</c:v>
                </c:pt>
                <c:pt idx="28">
                  <c:v>51</c:v>
                </c:pt>
                <c:pt idx="29">
                  <c:v>53</c:v>
                </c:pt>
                <c:pt idx="30">
                  <c:v>55</c:v>
                </c:pt>
              </c:numCache>
            </c:numRef>
          </c:xVal>
          <c:yVal>
            <c:numRef>
              <c:f>GRAFICI!$H$22:$H$52</c:f>
              <c:numCache>
                <c:formatCode>0.00</c:formatCode>
                <c:ptCount val="31"/>
                <c:pt idx="0">
                  <c:v>1.2413294851779706</c:v>
                </c:pt>
                <c:pt idx="1">
                  <c:v>1.4714090943652869</c:v>
                </c:pt>
                <c:pt idx="2">
                  <c:v>1.7398584342082015</c:v>
                </c:pt>
                <c:pt idx="3">
                  <c:v>2.0313857102470712</c:v>
                </c:pt>
                <c:pt idx="4">
                  <c:v>2.3446860328982173</c:v>
                </c:pt>
                <c:pt idx="5">
                  <c:v>2.7002481143883315</c:v>
                </c:pt>
                <c:pt idx="6">
                  <c:v>3.1029515179599731</c:v>
                </c:pt>
                <c:pt idx="7">
                  <c:v>3.5581480059358137</c:v>
                </c:pt>
                <c:pt idx="8">
                  <c:v>4.0717004176678149</c:v>
                </c:pt>
                <c:pt idx="9">
                  <c:v>4.6500248653268867</c:v>
                </c:pt>
                <c:pt idx="10">
                  <c:v>5.3001366874563951</c:v>
                </c:pt>
                <c:pt idx="11">
                  <c:v>6.0297006804437405</c:v>
                </c:pt>
                <c:pt idx="12">
                  <c:v>6.8470862228559479</c:v>
                </c:pt>
                <c:pt idx="13">
                  <c:v>7.7614280196458409</c:v>
                </c:pt>
                <c:pt idx="14">
                  <c:v>8.7826933258826791</c:v>
                </c:pt>
                <c:pt idx="15">
                  <c:v>9.9217566669657309</c:v>
                </c:pt>
                <c:pt idx="16">
                  <c:v>11.190483259282381</c:v>
                </c:pt>
                <c:pt idx="17">
                  <c:v>12.601822558204166</c:v>
                </c:pt>
                <c:pt idx="18">
                  <c:v>14.169913626978502</c:v>
                </c:pt>
                <c:pt idx="19">
                  <c:v>15.910204340241425</c:v>
                </c:pt>
                <c:pt idx="20">
                  <c:v>17.839586821836903</c:v>
                </c:pt>
                <c:pt idx="21">
                  <c:v>19.976551983992483</c:v>
                </c:pt>
                <c:pt idx="22">
                  <c:v>22.341366603454006</c:v>
                </c:pt>
                <c:pt idx="23">
                  <c:v>24.956277065307756</c:v>
                </c:pt>
                <c:pt idx="24">
                  <c:v>27.845744759479807</c:v>
                </c:pt>
                <c:pt idx="25">
                  <c:v>31.03671917045456</c:v>
                </c:pt>
                <c:pt idx="26">
                  <c:v>34.558956012375717</c:v>
                </c:pt>
                <c:pt idx="27">
                  <c:v>38.445389401117062</c:v>
                </c:pt>
                <c:pt idx="28">
                  <c:v>42.73256911656663</c:v>
                </c:pt>
                <c:pt idx="29">
                  <c:v>47.461176617580236</c:v>
                </c:pt>
                <c:pt idx="30">
                  <c:v>52.676636796224216</c:v>
                </c:pt>
              </c:numCache>
            </c:numRef>
          </c:yVal>
          <c:smooth val="1"/>
        </c:ser>
        <c:ser>
          <c:idx val="5"/>
          <c:order val="4"/>
          <c:tx>
            <c:strRef>
              <c:f>GRAFICI!$I$21</c:f>
              <c:strCache>
                <c:ptCount val="1"/>
                <c:pt idx="0">
                  <c:v>60%</c:v>
                </c:pt>
              </c:strCache>
            </c:strRef>
          </c:tx>
          <c:spPr>
            <a:ln w="12700">
              <a:solidFill>
                <a:srgbClr val="000080"/>
              </a:solidFill>
              <a:prstDash val="solid"/>
            </a:ln>
          </c:spPr>
          <c:marker>
            <c:symbol val="none"/>
          </c:marker>
          <c:xVal>
            <c:numRef>
              <c:f>GRAFICI!$A$22:$A$52</c:f>
              <c:numCache>
                <c:formatCode>General</c:formatCode>
                <c:ptCount val="31"/>
                <c:pt idx="0">
                  <c:v>-5</c:v>
                </c:pt>
                <c:pt idx="1">
                  <c:v>-3</c:v>
                </c:pt>
                <c:pt idx="2">
                  <c:v>-1</c:v>
                </c:pt>
                <c:pt idx="3">
                  <c:v>1</c:v>
                </c:pt>
                <c:pt idx="4">
                  <c:v>3</c:v>
                </c:pt>
                <c:pt idx="5">
                  <c:v>5</c:v>
                </c:pt>
                <c:pt idx="6">
                  <c:v>7</c:v>
                </c:pt>
                <c:pt idx="7">
                  <c:v>9</c:v>
                </c:pt>
                <c:pt idx="8">
                  <c:v>11</c:v>
                </c:pt>
                <c:pt idx="9">
                  <c:v>13</c:v>
                </c:pt>
                <c:pt idx="10">
                  <c:v>15</c:v>
                </c:pt>
                <c:pt idx="11">
                  <c:v>17</c:v>
                </c:pt>
                <c:pt idx="12">
                  <c:v>19</c:v>
                </c:pt>
                <c:pt idx="13">
                  <c:v>21</c:v>
                </c:pt>
                <c:pt idx="14">
                  <c:v>23</c:v>
                </c:pt>
                <c:pt idx="15">
                  <c:v>25</c:v>
                </c:pt>
                <c:pt idx="16">
                  <c:v>27</c:v>
                </c:pt>
                <c:pt idx="17">
                  <c:v>29</c:v>
                </c:pt>
                <c:pt idx="18">
                  <c:v>31</c:v>
                </c:pt>
                <c:pt idx="19">
                  <c:v>33</c:v>
                </c:pt>
                <c:pt idx="20">
                  <c:v>35</c:v>
                </c:pt>
                <c:pt idx="21">
                  <c:v>37</c:v>
                </c:pt>
                <c:pt idx="22">
                  <c:v>39</c:v>
                </c:pt>
                <c:pt idx="23">
                  <c:v>41</c:v>
                </c:pt>
                <c:pt idx="24">
                  <c:v>43</c:v>
                </c:pt>
                <c:pt idx="25">
                  <c:v>45</c:v>
                </c:pt>
                <c:pt idx="26">
                  <c:v>47</c:v>
                </c:pt>
                <c:pt idx="27">
                  <c:v>49</c:v>
                </c:pt>
                <c:pt idx="28">
                  <c:v>51</c:v>
                </c:pt>
                <c:pt idx="29">
                  <c:v>53</c:v>
                </c:pt>
                <c:pt idx="30">
                  <c:v>55</c:v>
                </c:pt>
              </c:numCache>
            </c:numRef>
          </c:xVal>
          <c:yVal>
            <c:numRef>
              <c:f>GRAFICI!$I$22:$I$52</c:f>
              <c:numCache>
                <c:formatCode>0.00</c:formatCode>
                <c:ptCount val="31"/>
                <c:pt idx="0">
                  <c:v>1.4901901978124805</c:v>
                </c:pt>
                <c:pt idx="1">
                  <c:v>1.7665267225843204</c:v>
                </c:pt>
                <c:pt idx="2">
                  <c:v>2.0889988281562499</c:v>
                </c:pt>
                <c:pt idx="3">
                  <c:v>2.4392561736684981</c:v>
                </c:pt>
                <c:pt idx="4">
                  <c:v>2.8157461503981556</c:v>
                </c:pt>
                <c:pt idx="5">
                  <c:v>3.2431136514504013</c:v>
                </c:pt>
                <c:pt idx="6">
                  <c:v>3.727260754448797</c:v>
                </c:pt>
                <c:pt idx="7">
                  <c:v>4.2746684083941959</c:v>
                </c:pt>
                <c:pt idx="8">
                  <c:v>4.8924460366110978</c:v>
                </c:pt>
                <c:pt idx="9">
                  <c:v>5.5883857767887095</c:v>
                </c:pt>
                <c:pt idx="10">
                  <c:v>6.3710220228124612</c:v>
                </c:pt>
                <c:pt idx="11">
                  <c:v>7.249697057337543</c:v>
                </c:pt>
                <c:pt idx="12">
                  <c:v>8.2346337118203561</c:v>
                </c:pt>
                <c:pt idx="13">
                  <c:v>9.3370161667102192</c:v>
                </c:pt>
                <c:pt idx="14">
                  <c:v>10.569080214558728</c:v>
                </c:pt>
                <c:pt idx="15">
                  <c:v>11.944214560198203</c:v>
                </c:pt>
                <c:pt idx="16">
                  <c:v>13.477075033989092</c:v>
                </c:pt>
                <c:pt idx="17">
                  <c:v>15.183713957870856</c:v>
                </c:pt>
                <c:pt idx="18">
                  <c:v>17.08172734406687</c:v>
                </c:pt>
                <c:pt idx="19">
                  <c:v>19.190423141198217</c:v>
                </c:pt>
                <c:pt idx="20">
                  <c:v>21.531014395752905</c:v>
                </c:pt>
                <c:pt idx="21">
                  <c:v>24.1268419985904</c:v>
                </c:pt>
                <c:pt idx="22">
                  <c:v>27.003632675431611</c:v>
                </c:pt>
                <c:pt idx="23">
                  <c:v>30.189799107869284</c:v>
                </c:pt>
                <c:pt idx="24">
                  <c:v>33.716790603641705</c:v>
                </c:pt>
                <c:pt idx="25">
                  <c:v>37.619504659079524</c:v>
                </c:pt>
                <c:pt idx="26">
                  <c:v>41.936772188438852</c:v>
                </c:pt>
                <c:pt idx="27">
                  <c:v>46.711932288742418</c:v>
                </c:pt>
                <c:pt idx="28">
                  <c:v>51.993516372466125</c:v>
                </c:pt>
                <c:pt idx="29">
                  <c:v>57.836066615688161</c:v>
                </c:pt>
                <c:pt idx="30">
                  <c:v>64.30112032150862</c:v>
                </c:pt>
              </c:numCache>
            </c:numRef>
          </c:yVal>
          <c:smooth val="1"/>
        </c:ser>
        <c:ser>
          <c:idx val="6"/>
          <c:order val="5"/>
          <c:tx>
            <c:strRef>
              <c:f>GRAFICI!$J$21</c:f>
              <c:strCache>
                <c:ptCount val="1"/>
                <c:pt idx="0">
                  <c:v>70%</c:v>
                </c:pt>
              </c:strCache>
            </c:strRef>
          </c:tx>
          <c:spPr>
            <a:ln w="12700">
              <a:solidFill>
                <a:srgbClr val="000080"/>
              </a:solidFill>
              <a:prstDash val="solid"/>
            </a:ln>
          </c:spPr>
          <c:marker>
            <c:symbol val="none"/>
          </c:marker>
          <c:xVal>
            <c:numRef>
              <c:f>GRAFICI!$A$22:$A$52</c:f>
              <c:numCache>
                <c:formatCode>General</c:formatCode>
                <c:ptCount val="31"/>
                <c:pt idx="0">
                  <c:v>-5</c:v>
                </c:pt>
                <c:pt idx="1">
                  <c:v>-3</c:v>
                </c:pt>
                <c:pt idx="2">
                  <c:v>-1</c:v>
                </c:pt>
                <c:pt idx="3">
                  <c:v>1</c:v>
                </c:pt>
                <c:pt idx="4">
                  <c:v>3</c:v>
                </c:pt>
                <c:pt idx="5">
                  <c:v>5</c:v>
                </c:pt>
                <c:pt idx="6">
                  <c:v>7</c:v>
                </c:pt>
                <c:pt idx="7">
                  <c:v>9</c:v>
                </c:pt>
                <c:pt idx="8">
                  <c:v>11</c:v>
                </c:pt>
                <c:pt idx="9">
                  <c:v>13</c:v>
                </c:pt>
                <c:pt idx="10">
                  <c:v>15</c:v>
                </c:pt>
                <c:pt idx="11">
                  <c:v>17</c:v>
                </c:pt>
                <c:pt idx="12">
                  <c:v>19</c:v>
                </c:pt>
                <c:pt idx="13">
                  <c:v>21</c:v>
                </c:pt>
                <c:pt idx="14">
                  <c:v>23</c:v>
                </c:pt>
                <c:pt idx="15">
                  <c:v>25</c:v>
                </c:pt>
                <c:pt idx="16">
                  <c:v>27</c:v>
                </c:pt>
                <c:pt idx="17">
                  <c:v>29</c:v>
                </c:pt>
                <c:pt idx="18">
                  <c:v>31</c:v>
                </c:pt>
                <c:pt idx="19">
                  <c:v>33</c:v>
                </c:pt>
                <c:pt idx="20">
                  <c:v>35</c:v>
                </c:pt>
                <c:pt idx="21">
                  <c:v>37</c:v>
                </c:pt>
                <c:pt idx="22">
                  <c:v>39</c:v>
                </c:pt>
                <c:pt idx="23">
                  <c:v>41</c:v>
                </c:pt>
                <c:pt idx="24">
                  <c:v>43</c:v>
                </c:pt>
                <c:pt idx="25">
                  <c:v>45</c:v>
                </c:pt>
                <c:pt idx="26">
                  <c:v>47</c:v>
                </c:pt>
                <c:pt idx="27">
                  <c:v>49</c:v>
                </c:pt>
                <c:pt idx="28">
                  <c:v>51</c:v>
                </c:pt>
                <c:pt idx="29">
                  <c:v>53</c:v>
                </c:pt>
                <c:pt idx="30">
                  <c:v>55</c:v>
                </c:pt>
              </c:numCache>
            </c:numRef>
          </c:xVal>
          <c:yVal>
            <c:numRef>
              <c:f>GRAFICI!$J$22:$J$52</c:f>
              <c:numCache>
                <c:formatCode>0.00</c:formatCode>
                <c:ptCount val="31"/>
                <c:pt idx="0">
                  <c:v>1.7392497367431665</c:v>
                </c:pt>
                <c:pt idx="1">
                  <c:v>2.0619238775149609</c:v>
                </c:pt>
                <c:pt idx="2">
                  <c:v>2.4385303184813285</c:v>
                </c:pt>
                <c:pt idx="3">
                  <c:v>2.8476601758236368</c:v>
                </c:pt>
                <c:pt idx="4">
                  <c:v>3.2875176451349368</c:v>
                </c:pt>
                <c:pt idx="5">
                  <c:v>3.7869235414692271</c:v>
                </c:pt>
                <c:pt idx="6">
                  <c:v>4.3528183106705063</c:v>
                </c:pt>
                <c:pt idx="7">
                  <c:v>4.9928321646177407</c:v>
                </c:pt>
                <c:pt idx="8">
                  <c:v>5.7153464540839289</c:v>
                </c:pt>
                <c:pt idx="9">
                  <c:v>6.5295612413311837</c:v>
                </c:pt>
                <c:pt idx="10">
                  <c:v>7.4455700169331624</c:v>
                </c:pt>
                <c:pt idx="11">
                  <c:v>8.4744426863310984</c:v>
                </c:pt>
                <c:pt idx="12">
                  <c:v>9.6283181683020373</c:v>
                </c:pt>
                <c:pt idx="13">
                  <c:v>10.920508207465071</c:v>
                </c:pt>
                <c:pt idx="14">
                  <c:v>12.365614315723931</c:v>
                </c:pt>
                <c:pt idx="15">
                  <c:v>13.979660135159095</c:v>
                </c:pt>
                <c:pt idx="16">
                  <c:v>15.780241972572165</c:v>
                </c:pt>
                <c:pt idx="17">
                  <c:v>17.786700812998919</c:v>
                </c:pt>
                <c:pt idx="18">
                  <c:v>20.02031980085593</c:v>
                </c:pt>
                <c:pt idx="19">
                  <c:v>22.504552014884183</c:v>
                </c:pt>
                <c:pt idx="20">
                  <c:v>25.265284397992083</c:v>
                </c:pt>
                <c:pt idx="21">
                  <c:v>28.331144989329641</c:v>
                </c:pt>
                <c:pt idx="22">
                  <c:v>31.733862213911458</c:v>
                </c:pt>
                <c:pt idx="23">
                  <c:v>35.508687007926639</c:v>
                </c:pt>
                <c:pt idx="24">
                  <c:v>39.694891119078811</c:v>
                </c:pt>
                <c:pt idx="25">
                  <c:v>44.33635818631268</c:v>
                </c:pt>
                <c:pt idx="26">
                  <c:v>49.482288395164645</c:v>
                </c:pt>
                <c:pt idx="27">
                  <c:v>55.188042927164318</c:v>
                </c:pt>
                <c:pt idx="28">
                  <c:v>61.516161490468967</c:v>
                </c:pt>
                <c:pt idx="29">
                  <c:v>68.537595510848305</c:v>
                </c:pt>
                <c:pt idx="30">
                  <c:v>76.333211883787826</c:v>
                </c:pt>
              </c:numCache>
            </c:numRef>
          </c:yVal>
          <c:smooth val="1"/>
        </c:ser>
        <c:ser>
          <c:idx val="7"/>
          <c:order val="6"/>
          <c:tx>
            <c:strRef>
              <c:f>GRAFICI!$K$21</c:f>
              <c:strCache>
                <c:ptCount val="1"/>
                <c:pt idx="0">
                  <c:v>80%</c:v>
                </c:pt>
              </c:strCache>
            </c:strRef>
          </c:tx>
          <c:spPr>
            <a:ln w="12700">
              <a:solidFill>
                <a:srgbClr val="000080"/>
              </a:solidFill>
              <a:prstDash val="solid"/>
            </a:ln>
          </c:spPr>
          <c:marker>
            <c:symbol val="none"/>
          </c:marker>
          <c:xVal>
            <c:numRef>
              <c:f>GRAFICI!$A$22:$A$52</c:f>
              <c:numCache>
                <c:formatCode>General</c:formatCode>
                <c:ptCount val="31"/>
                <c:pt idx="0">
                  <c:v>-5</c:v>
                </c:pt>
                <c:pt idx="1">
                  <c:v>-3</c:v>
                </c:pt>
                <c:pt idx="2">
                  <c:v>-1</c:v>
                </c:pt>
                <c:pt idx="3">
                  <c:v>1</c:v>
                </c:pt>
                <c:pt idx="4">
                  <c:v>3</c:v>
                </c:pt>
                <c:pt idx="5">
                  <c:v>5</c:v>
                </c:pt>
                <c:pt idx="6">
                  <c:v>7</c:v>
                </c:pt>
                <c:pt idx="7">
                  <c:v>9</c:v>
                </c:pt>
                <c:pt idx="8">
                  <c:v>11</c:v>
                </c:pt>
                <c:pt idx="9">
                  <c:v>13</c:v>
                </c:pt>
                <c:pt idx="10">
                  <c:v>15</c:v>
                </c:pt>
                <c:pt idx="11">
                  <c:v>17</c:v>
                </c:pt>
                <c:pt idx="12">
                  <c:v>19</c:v>
                </c:pt>
                <c:pt idx="13">
                  <c:v>21</c:v>
                </c:pt>
                <c:pt idx="14">
                  <c:v>23</c:v>
                </c:pt>
                <c:pt idx="15">
                  <c:v>25</c:v>
                </c:pt>
                <c:pt idx="16">
                  <c:v>27</c:v>
                </c:pt>
                <c:pt idx="17">
                  <c:v>29</c:v>
                </c:pt>
                <c:pt idx="18">
                  <c:v>31</c:v>
                </c:pt>
                <c:pt idx="19">
                  <c:v>33</c:v>
                </c:pt>
                <c:pt idx="20">
                  <c:v>35</c:v>
                </c:pt>
                <c:pt idx="21">
                  <c:v>37</c:v>
                </c:pt>
                <c:pt idx="22">
                  <c:v>39</c:v>
                </c:pt>
                <c:pt idx="23">
                  <c:v>41</c:v>
                </c:pt>
                <c:pt idx="24">
                  <c:v>43</c:v>
                </c:pt>
                <c:pt idx="25">
                  <c:v>45</c:v>
                </c:pt>
                <c:pt idx="26">
                  <c:v>47</c:v>
                </c:pt>
                <c:pt idx="27">
                  <c:v>49</c:v>
                </c:pt>
                <c:pt idx="28">
                  <c:v>51</c:v>
                </c:pt>
                <c:pt idx="29">
                  <c:v>53</c:v>
                </c:pt>
                <c:pt idx="30">
                  <c:v>55</c:v>
                </c:pt>
              </c:numCache>
            </c:numRef>
          </c:xVal>
          <c:yVal>
            <c:numRef>
              <c:f>GRAFICI!$K$22:$K$52</c:f>
              <c:numCache>
                <c:formatCode>0.00</c:formatCode>
                <c:ptCount val="31"/>
                <c:pt idx="0">
                  <c:v>1.9885083403424939</c:v>
                </c:pt>
                <c:pt idx="1">
                  <c:v>2.3576009564845615</c:v>
                </c:pt>
                <c:pt idx="2">
                  <c:v>2.7884535626929763</c:v>
                </c:pt>
                <c:pt idx="3">
                  <c:v>3.2565987642873182</c:v>
                </c:pt>
                <c:pt idx="4">
                  <c:v>3.7600021297688917</c:v>
                </c:pt>
                <c:pt idx="5">
                  <c:v>4.3316802507429957</c:v>
                </c:pt>
                <c:pt idx="6">
                  <c:v>4.9796279344352063</c:v>
                </c:pt>
                <c:pt idx="7">
                  <c:v>5.712644934693933</c:v>
                </c:pt>
                <c:pt idx="8">
                  <c:v>6.5404101671036257</c:v>
                </c:pt>
                <c:pt idx="9">
                  <c:v>7.4735639410797878</c:v>
                </c:pt>
                <c:pt idx="10">
                  <c:v>8.5237994926316887</c:v>
                </c:pt>
                <c:pt idx="11">
                  <c:v>9.7039653536340751</c:v>
                </c:pt>
                <c:pt idx="12">
                  <c:v>11.028180397221293</c:v>
                </c:pt>
                <c:pt idx="13">
                  <c:v>12.511963765952649</c:v>
                </c:pt>
                <c:pt idx="14">
                  <c:v>14.172382334442192</c:v>
                </c:pt>
                <c:pt idx="15">
                  <c:v>16.028218899946999</c:v>
                </c:pt>
                <c:pt idx="16">
                  <c:v>18.100164956973352</c:v>
                </c:pt>
                <c:pt idx="17">
                  <c:v>20.411042726133505</c:v>
                </c:pt>
                <c:pt idx="18">
                  <c:v>22.986062113242138</c:v>
                </c:pt>
                <c:pt idx="19">
                  <c:v>25.853119524012364</c:v>
                </c:pt>
                <c:pt idx="20">
                  <c:v>29.043147020850334</c:v>
                </c:pt>
                <c:pt idx="21">
                  <c:v>32.590522271145097</c:v>
                </c:pt>
                <c:pt idx="22">
                  <c:v>36.533552220516924</c:v>
                </c:pt>
                <c:pt idx="23">
                  <c:v>40.915046589644156</c:v>
                </c:pt>
                <c:pt idx="24">
                  <c:v>45.783001355085339</c:v>
                </c:pt>
                <c:pt idx="25">
                  <c:v>51.191417626133948</c:v>
                </c:pt>
                <c:pt idx="26">
                  <c:v>57.201288173290308</c:v>
                </c:pt>
                <c:pt idx="27">
                  <c:v>63.881792856250847</c:v>
                </c:pt>
                <c:pt idx="28">
                  <c:v>71.311756119011918</c:v>
                </c:pt>
                <c:pt idx="29">
                  <c:v>79.581435667348231</c:v>
                </c:pt>
                <c:pt idx="30">
                  <c:v>88.794732992682739</c:v>
                </c:pt>
              </c:numCache>
            </c:numRef>
          </c:yVal>
          <c:smooth val="1"/>
        </c:ser>
        <c:ser>
          <c:idx val="8"/>
          <c:order val="7"/>
          <c:tx>
            <c:strRef>
              <c:f>GRAFICI!$L$21</c:f>
              <c:strCache>
                <c:ptCount val="1"/>
                <c:pt idx="0">
                  <c:v>90%</c:v>
                </c:pt>
              </c:strCache>
            </c:strRef>
          </c:tx>
          <c:spPr>
            <a:ln w="12700">
              <a:solidFill>
                <a:srgbClr val="000080"/>
              </a:solidFill>
              <a:prstDash val="solid"/>
            </a:ln>
          </c:spPr>
          <c:marker>
            <c:symbol val="none"/>
          </c:marker>
          <c:xVal>
            <c:numRef>
              <c:f>GRAFICI!$A$22:$A$52</c:f>
              <c:numCache>
                <c:formatCode>General</c:formatCode>
                <c:ptCount val="31"/>
                <c:pt idx="0">
                  <c:v>-5</c:v>
                </c:pt>
                <c:pt idx="1">
                  <c:v>-3</c:v>
                </c:pt>
                <c:pt idx="2">
                  <c:v>-1</c:v>
                </c:pt>
                <c:pt idx="3">
                  <c:v>1</c:v>
                </c:pt>
                <c:pt idx="4">
                  <c:v>3</c:v>
                </c:pt>
                <c:pt idx="5">
                  <c:v>5</c:v>
                </c:pt>
                <c:pt idx="6">
                  <c:v>7</c:v>
                </c:pt>
                <c:pt idx="7">
                  <c:v>9</c:v>
                </c:pt>
                <c:pt idx="8">
                  <c:v>11</c:v>
                </c:pt>
                <c:pt idx="9">
                  <c:v>13</c:v>
                </c:pt>
                <c:pt idx="10">
                  <c:v>15</c:v>
                </c:pt>
                <c:pt idx="11">
                  <c:v>17</c:v>
                </c:pt>
                <c:pt idx="12">
                  <c:v>19</c:v>
                </c:pt>
                <c:pt idx="13">
                  <c:v>21</c:v>
                </c:pt>
                <c:pt idx="14">
                  <c:v>23</c:v>
                </c:pt>
                <c:pt idx="15">
                  <c:v>25</c:v>
                </c:pt>
                <c:pt idx="16">
                  <c:v>27</c:v>
                </c:pt>
                <c:pt idx="17">
                  <c:v>29</c:v>
                </c:pt>
                <c:pt idx="18">
                  <c:v>31</c:v>
                </c:pt>
                <c:pt idx="19">
                  <c:v>33</c:v>
                </c:pt>
                <c:pt idx="20">
                  <c:v>35</c:v>
                </c:pt>
                <c:pt idx="21">
                  <c:v>37</c:v>
                </c:pt>
                <c:pt idx="22">
                  <c:v>39</c:v>
                </c:pt>
                <c:pt idx="23">
                  <c:v>41</c:v>
                </c:pt>
                <c:pt idx="24">
                  <c:v>43</c:v>
                </c:pt>
                <c:pt idx="25">
                  <c:v>45</c:v>
                </c:pt>
                <c:pt idx="26">
                  <c:v>47</c:v>
                </c:pt>
                <c:pt idx="27">
                  <c:v>49</c:v>
                </c:pt>
                <c:pt idx="28">
                  <c:v>51</c:v>
                </c:pt>
                <c:pt idx="29">
                  <c:v>53</c:v>
                </c:pt>
                <c:pt idx="30">
                  <c:v>55</c:v>
                </c:pt>
              </c:numCache>
            </c:numRef>
          </c:xVal>
          <c:yVal>
            <c:numRef>
              <c:f>GRAFICI!$L$22:$L$52</c:f>
              <c:numCache>
                <c:formatCode>0.00</c:formatCode>
                <c:ptCount val="31"/>
                <c:pt idx="0">
                  <c:v>2.2379662473641253</c:v>
                </c:pt>
                <c:pt idx="1">
                  <c:v>2.6535583575738588</c:v>
                </c:pt>
                <c:pt idx="2">
                  <c:v>3.1387692197754249</c:v>
                </c:pt>
                <c:pt idx="3">
                  <c:v>3.6660729893786441</c:v>
                </c:pt>
                <c:pt idx="4">
                  <c:v>4.2332012218384731</c:v>
                </c:pt>
                <c:pt idx="5">
                  <c:v>4.8773862541654411</c:v>
                </c:pt>
                <c:pt idx="6">
                  <c:v>5.6076933885706861</c:v>
                </c:pt>
                <c:pt idx="7">
                  <c:v>6.4341124047329785</c:v>
                </c:pt>
                <c:pt idx="8">
                  <c:v>7.3676457174213521</c:v>
                </c:pt>
                <c:pt idx="9">
                  <c:v>8.4204066344673141</c:v>
                </c:pt>
                <c:pt idx="10">
                  <c:v>9.6057294019192643</c:v>
                </c:pt>
                <c:pt idx="11">
                  <c:v>10.938293062636181</c:v>
                </c:pt>
                <c:pt idx="12">
                  <c:v>12.434261566053163</c:v>
                </c:pt>
                <c:pt idx="13">
                  <c:v>14.111443067435872</c:v>
                </c:pt>
                <c:pt idx="14">
                  <c:v>15.989471966426015</c:v>
                </c:pt>
                <c:pt idx="15">
                  <c:v>18.090017985037598</c:v>
                </c:pt>
                <c:pt idx="16">
                  <c:v>20.437027510655014</c:v>
                </c:pt>
                <c:pt idx="17">
                  <c:v>23.057003576953939</c:v>
                </c:pt>
                <c:pt idx="18">
                  <c:v>25.979332286477582</c:v>
                </c:pt>
                <c:pt idx="19">
                  <c:v>29.236665273745253</c:v>
                </c:pt>
                <c:pt idx="20">
                  <c:v>32.86537007444435</c:v>
                </c:pt>
                <c:pt idx="21">
                  <c:v>36.906063147692983</c:v>
                </c:pt>
                <c:pt idx="22">
                  <c:v>41.404243987127572</c:v>
                </c:pt>
                <c:pt idx="23">
                  <c:v>46.411053514028339</c:v>
                </c:pt>
                <c:pt idx="24">
                  <c:v>51.984186129281433</c:v>
                </c:pt>
                <c:pt idx="25">
                  <c:v>58.188992904300235</c:v>
                </c:pt>
                <c:pt idx="26">
                  <c:v>65.09982410220357</c:v>
                </c:pt>
                <c:pt idx="27">
                  <c:v>72.801673509050062</c:v>
                </c:pt>
                <c:pt idx="28">
                  <c:v>81.392206301628946</c:v>
                </c:pt>
                <c:pt idx="29">
                  <c:v>90.984278373810412</c:v>
                </c:pt>
                <c:pt idx="30">
                  <c:v>101.70909109370341</c:v>
                </c:pt>
              </c:numCache>
            </c:numRef>
          </c:yVal>
          <c:smooth val="1"/>
        </c:ser>
        <c:ser>
          <c:idx val="9"/>
          <c:order val="8"/>
          <c:tx>
            <c:strRef>
              <c:f>GRAFICI!$M$21</c:f>
              <c:strCache>
                <c:ptCount val="1"/>
                <c:pt idx="0">
                  <c:v>100%</c:v>
                </c:pt>
              </c:strCache>
            </c:strRef>
          </c:tx>
          <c:spPr>
            <a:ln w="12700">
              <a:solidFill>
                <a:srgbClr val="000080"/>
              </a:solidFill>
              <a:prstDash val="solid"/>
            </a:ln>
          </c:spPr>
          <c:marker>
            <c:symbol val="none"/>
          </c:marker>
          <c:xVal>
            <c:numRef>
              <c:f>GRAFICI!$A$22:$A$52</c:f>
              <c:numCache>
                <c:formatCode>General</c:formatCode>
                <c:ptCount val="31"/>
                <c:pt idx="0">
                  <c:v>-5</c:v>
                </c:pt>
                <c:pt idx="1">
                  <c:v>-3</c:v>
                </c:pt>
                <c:pt idx="2">
                  <c:v>-1</c:v>
                </c:pt>
                <c:pt idx="3">
                  <c:v>1</c:v>
                </c:pt>
                <c:pt idx="4">
                  <c:v>3</c:v>
                </c:pt>
                <c:pt idx="5">
                  <c:v>5</c:v>
                </c:pt>
                <c:pt idx="6">
                  <c:v>7</c:v>
                </c:pt>
                <c:pt idx="7">
                  <c:v>9</c:v>
                </c:pt>
                <c:pt idx="8">
                  <c:v>11</c:v>
                </c:pt>
                <c:pt idx="9">
                  <c:v>13</c:v>
                </c:pt>
                <c:pt idx="10">
                  <c:v>15</c:v>
                </c:pt>
                <c:pt idx="11">
                  <c:v>17</c:v>
                </c:pt>
                <c:pt idx="12">
                  <c:v>19</c:v>
                </c:pt>
                <c:pt idx="13">
                  <c:v>21</c:v>
                </c:pt>
                <c:pt idx="14">
                  <c:v>23</c:v>
                </c:pt>
                <c:pt idx="15">
                  <c:v>25</c:v>
                </c:pt>
                <c:pt idx="16">
                  <c:v>27</c:v>
                </c:pt>
                <c:pt idx="17">
                  <c:v>29</c:v>
                </c:pt>
                <c:pt idx="18">
                  <c:v>31</c:v>
                </c:pt>
                <c:pt idx="19">
                  <c:v>33</c:v>
                </c:pt>
                <c:pt idx="20">
                  <c:v>35</c:v>
                </c:pt>
                <c:pt idx="21">
                  <c:v>37</c:v>
                </c:pt>
                <c:pt idx="22">
                  <c:v>39</c:v>
                </c:pt>
                <c:pt idx="23">
                  <c:v>41</c:v>
                </c:pt>
                <c:pt idx="24">
                  <c:v>43</c:v>
                </c:pt>
                <c:pt idx="25">
                  <c:v>45</c:v>
                </c:pt>
                <c:pt idx="26">
                  <c:v>47</c:v>
                </c:pt>
                <c:pt idx="27">
                  <c:v>49</c:v>
                </c:pt>
                <c:pt idx="28">
                  <c:v>51</c:v>
                </c:pt>
                <c:pt idx="29">
                  <c:v>53</c:v>
                </c:pt>
                <c:pt idx="30">
                  <c:v>55</c:v>
                </c:pt>
              </c:numCache>
            </c:numRef>
          </c:xVal>
          <c:yVal>
            <c:numRef>
              <c:f>GRAFICI!$M$22:$M$52</c:f>
              <c:numCache>
                <c:formatCode>0.00</c:formatCode>
                <c:ptCount val="31"/>
                <c:pt idx="0">
                  <c:v>2.4876236969436829</c:v>
                </c:pt>
                <c:pt idx="1">
                  <c:v>2.9497964796187661</c:v>
                </c:pt>
                <c:pt idx="2">
                  <c:v>3.4894779501917412</c:v>
                </c:pt>
                <c:pt idx="3">
                  <c:v>4.0760839041699821</c:v>
                </c:pt>
                <c:pt idx="4">
                  <c:v>4.7071165437787199</c:v>
                </c:pt>
                <c:pt idx="5">
                  <c:v>5.424044035263333</c:v>
                </c:pt>
                <c:pt idx="6">
                  <c:v>6.2370184509977111</c:v>
                </c:pt>
                <c:pt idx="7">
                  <c:v>7.1572402870175393</c:v>
                </c:pt>
                <c:pt idx="8">
                  <c:v>8.1970616918169004</c:v>
                </c:pt>
                <c:pt idx="9">
                  <c:v>9.3701021568086542</c:v>
                </c:pt>
                <c:pt idx="10">
                  <c:v>10.691378827115578</c:v>
                </c:pt>
                <c:pt idx="11">
                  <c:v>12.177454036033211</c:v>
                </c:pt>
                <c:pt idx="12">
                  <c:v>13.846603208863057</c:v>
                </c:pt>
                <c:pt idx="13">
                  <c:v>15.719006945995526</c:v>
                </c:pt>
                <c:pt idx="14">
                  <c:v>17.816971912225409</c:v>
                </c:pt>
                <c:pt idx="15">
                  <c:v>20.165186169583201</c:v>
                </c:pt>
                <c:pt idx="16">
                  <c:v>22.791015846996306</c:v>
                </c:pt>
                <c:pt idx="17">
                  <c:v>25.724851610724027</c:v>
                </c:pt>
                <c:pt idx="18">
                  <c:v>29.000515375781973</c:v>
                </c:pt>
                <c:pt idx="19">
                  <c:v>32.655740201575</c:v>
                </c:pt>
                <c:pt idx="20">
                  <c:v>36.732739506946075</c:v>
                </c:pt>
                <c:pt idx="21">
                  <c:v>41.27888584011319</c:v>
                </c:pt>
                <c:pt idx="22">
                  <c:v>46.347524746047711</c:v>
                </c:pt>
                <c:pt idx="23">
                  <c:v>51.998956198188075</c:v>
                </c:pt>
                <c:pt idx="24">
                  <c:v>58.301625172209242</c:v>
                </c:pt>
                <c:pt idx="25">
                  <c:v>65.333575034614967</c:v>
                </c:pt>
                <c:pt idx="26">
                  <c:v>73.184233627933509</c:v>
                </c:pt>
                <c:pt idx="27">
                  <c:v>81.956623875884858</c:v>
                </c:pt>
                <c:pt idx="28">
                  <c:v>91.770120753356537</c:v>
                </c:pt>
                <c:pt idx="29">
                  <c:v>102.76391801684477</c:v>
                </c:pt>
                <c:pt idx="30">
                  <c:v>115.10142631210171</c:v>
                </c:pt>
              </c:numCache>
            </c:numRef>
          </c:yVal>
          <c:smooth val="1"/>
        </c:ser>
        <c:ser>
          <c:idx val="10"/>
          <c:order val="9"/>
          <c:tx>
            <c:strRef>
              <c:f>GRAFICI!$N$19</c:f>
              <c:strCache>
                <c:ptCount val="1"/>
                <c:pt idx="0">
                  <c:v>1,2</c:v>
                </c:pt>
              </c:strCache>
            </c:strRef>
          </c:tx>
          <c:spPr>
            <a:ln w="12700">
              <a:solidFill>
                <a:srgbClr val="00FFFF"/>
              </a:solidFill>
              <a:prstDash val="solid"/>
            </a:ln>
          </c:spPr>
          <c:marker>
            <c:symbol val="none"/>
          </c:marker>
          <c:xVal>
            <c:numRef>
              <c:f>GRAFICI!$A$22:$A$52</c:f>
              <c:numCache>
                <c:formatCode>General</c:formatCode>
                <c:ptCount val="31"/>
                <c:pt idx="0">
                  <c:v>-5</c:v>
                </c:pt>
                <c:pt idx="1">
                  <c:v>-3</c:v>
                </c:pt>
                <c:pt idx="2">
                  <c:v>-1</c:v>
                </c:pt>
                <c:pt idx="3">
                  <c:v>1</c:v>
                </c:pt>
                <c:pt idx="4">
                  <c:v>3</c:v>
                </c:pt>
                <c:pt idx="5">
                  <c:v>5</c:v>
                </c:pt>
                <c:pt idx="6">
                  <c:v>7</c:v>
                </c:pt>
                <c:pt idx="7">
                  <c:v>9</c:v>
                </c:pt>
                <c:pt idx="8">
                  <c:v>11</c:v>
                </c:pt>
                <c:pt idx="9">
                  <c:v>13</c:v>
                </c:pt>
                <c:pt idx="10">
                  <c:v>15</c:v>
                </c:pt>
                <c:pt idx="11">
                  <c:v>17</c:v>
                </c:pt>
                <c:pt idx="12">
                  <c:v>19</c:v>
                </c:pt>
                <c:pt idx="13">
                  <c:v>21</c:v>
                </c:pt>
                <c:pt idx="14">
                  <c:v>23</c:v>
                </c:pt>
                <c:pt idx="15">
                  <c:v>25</c:v>
                </c:pt>
                <c:pt idx="16">
                  <c:v>27</c:v>
                </c:pt>
                <c:pt idx="17">
                  <c:v>29</c:v>
                </c:pt>
                <c:pt idx="18">
                  <c:v>31</c:v>
                </c:pt>
                <c:pt idx="19">
                  <c:v>33</c:v>
                </c:pt>
                <c:pt idx="20">
                  <c:v>35</c:v>
                </c:pt>
                <c:pt idx="21">
                  <c:v>37</c:v>
                </c:pt>
                <c:pt idx="22">
                  <c:v>39</c:v>
                </c:pt>
                <c:pt idx="23">
                  <c:v>41</c:v>
                </c:pt>
                <c:pt idx="24">
                  <c:v>43</c:v>
                </c:pt>
                <c:pt idx="25">
                  <c:v>45</c:v>
                </c:pt>
                <c:pt idx="26">
                  <c:v>47</c:v>
                </c:pt>
                <c:pt idx="27">
                  <c:v>49</c:v>
                </c:pt>
                <c:pt idx="28">
                  <c:v>51</c:v>
                </c:pt>
                <c:pt idx="29">
                  <c:v>53</c:v>
                </c:pt>
                <c:pt idx="30">
                  <c:v>55</c:v>
                </c:pt>
              </c:numCache>
            </c:numRef>
          </c:xVal>
          <c:yVal>
            <c:numRef>
              <c:f>GRAFICI!$N$22:$N$52</c:f>
              <c:numCache>
                <c:formatCode>0.00</c:formatCode>
                <c:ptCount val="31"/>
                <c:pt idx="0">
                  <c:v>2.4876236969436829</c:v>
                </c:pt>
                <c:pt idx="1">
                  <c:v>1.6778014221880773</c:v>
                </c:pt>
                <c:pt idx="2">
                  <c:v>0.87031866748742437</c:v>
                </c:pt>
                <c:pt idx="3">
                  <c:v>6.5165309399347213E-2</c:v>
                </c:pt>
                <c:pt idx="4">
                  <c:v>-0.73766871719518379</c:v>
                </c:pt>
                <c:pt idx="5">
                  <c:v>-1.5381934195112665</c:v>
                </c:pt>
                <c:pt idx="6">
                  <c:v>-2.336418747275864</c:v>
                </c:pt>
                <c:pt idx="7">
                  <c:v>-3.1323545931400272</c:v>
                </c:pt>
                <c:pt idx="8">
                  <c:v>-3.9260107930875705</c:v>
                </c:pt>
                <c:pt idx="9">
                  <c:v>-4.7173971268402468</c:v>
                </c:pt>
                <c:pt idx="10">
                  <c:v>-5.506523318259454</c:v>
                </c:pt>
                <c:pt idx="11">
                  <c:v>-6.2933990357444811</c:v>
                </c:pt>
                <c:pt idx="12">
                  <c:v>-7.0780338926273938</c:v>
                </c:pt>
                <c:pt idx="13">
                  <c:v>-7.8604374475645082</c:v>
                </c:pt>
                <c:pt idx="14">
                  <c:v>-8.6406192049245618</c:v>
                </c:pt>
                <c:pt idx="15">
                  <c:v>-9.4185886151735545</c:v>
                </c:pt>
                <c:pt idx="16">
                  <c:v>-10.194355075256356</c:v>
                </c:pt>
                <c:pt idx="17">
                  <c:v>-10.967927928975037</c:v>
                </c:pt>
                <c:pt idx="18">
                  <c:v>-11.73931646736402</c:v>
                </c:pt>
                <c:pt idx="19">
                  <c:v>-12.508529929062048</c:v>
                </c:pt>
                <c:pt idx="20">
                  <c:v>-13.275577500681022</c:v>
                </c:pt>
                <c:pt idx="21">
                  <c:v>-14.040468317171712</c:v>
                </c:pt>
                <c:pt idx="22">
                  <c:v>-14.803211462186386</c:v>
                </c:pt>
                <c:pt idx="23">
                  <c:v>-15.563815968438414</c:v>
                </c:pt>
                <c:pt idx="24">
                  <c:v>-16.322290818058832</c:v>
                </c:pt>
                <c:pt idx="25">
                  <c:v>-17.078644942949886</c:v>
                </c:pt>
                <c:pt idx="26">
                  <c:v>-17.8328872251357</c:v>
                </c:pt>
                <c:pt idx="27">
                  <c:v>-18.585026497109908</c:v>
                </c:pt>
                <c:pt idx="28">
                  <c:v>-19.335071542180469</c:v>
                </c:pt>
                <c:pt idx="29">
                  <c:v>-20.083031094811524</c:v>
                </c:pt>
                <c:pt idx="30">
                  <c:v>-20.8289138409625</c:v>
                </c:pt>
              </c:numCache>
            </c:numRef>
          </c:yVal>
          <c:smooth val="1"/>
        </c:ser>
        <c:ser>
          <c:idx val="14"/>
          <c:order val="10"/>
          <c:tx>
            <c:strRef>
              <c:f>GRAFICI!$R$19</c:f>
              <c:strCache>
                <c:ptCount val="1"/>
                <c:pt idx="0">
                  <c:v>14,8</c:v>
                </c:pt>
              </c:strCache>
            </c:strRef>
          </c:tx>
          <c:spPr>
            <a:ln w="12700">
              <a:solidFill>
                <a:srgbClr val="00FFFF"/>
              </a:solidFill>
              <a:prstDash val="solid"/>
            </a:ln>
          </c:spPr>
          <c:marker>
            <c:symbol val="none"/>
          </c:marker>
          <c:xVal>
            <c:numRef>
              <c:f>GRAFICI!$A$26:$A$52</c:f>
              <c:numCache>
                <c:formatCode>General</c:formatCode>
                <c:ptCount val="27"/>
                <c:pt idx="0">
                  <c:v>3</c:v>
                </c:pt>
                <c:pt idx="1">
                  <c:v>5</c:v>
                </c:pt>
                <c:pt idx="2">
                  <c:v>7</c:v>
                </c:pt>
                <c:pt idx="3">
                  <c:v>9</c:v>
                </c:pt>
                <c:pt idx="4">
                  <c:v>11</c:v>
                </c:pt>
                <c:pt idx="5">
                  <c:v>13</c:v>
                </c:pt>
                <c:pt idx="6">
                  <c:v>15</c:v>
                </c:pt>
                <c:pt idx="7">
                  <c:v>17</c:v>
                </c:pt>
                <c:pt idx="8">
                  <c:v>19</c:v>
                </c:pt>
                <c:pt idx="9">
                  <c:v>21</c:v>
                </c:pt>
                <c:pt idx="10">
                  <c:v>23</c:v>
                </c:pt>
                <c:pt idx="11">
                  <c:v>25</c:v>
                </c:pt>
                <c:pt idx="12">
                  <c:v>27</c:v>
                </c:pt>
                <c:pt idx="13">
                  <c:v>29</c:v>
                </c:pt>
                <c:pt idx="14">
                  <c:v>31</c:v>
                </c:pt>
                <c:pt idx="15">
                  <c:v>33</c:v>
                </c:pt>
                <c:pt idx="16">
                  <c:v>35</c:v>
                </c:pt>
                <c:pt idx="17">
                  <c:v>37</c:v>
                </c:pt>
                <c:pt idx="18">
                  <c:v>39</c:v>
                </c:pt>
                <c:pt idx="19">
                  <c:v>41</c:v>
                </c:pt>
                <c:pt idx="20">
                  <c:v>43</c:v>
                </c:pt>
                <c:pt idx="21">
                  <c:v>45</c:v>
                </c:pt>
                <c:pt idx="22">
                  <c:v>47</c:v>
                </c:pt>
                <c:pt idx="23">
                  <c:v>49</c:v>
                </c:pt>
                <c:pt idx="24">
                  <c:v>51</c:v>
                </c:pt>
                <c:pt idx="25">
                  <c:v>53</c:v>
                </c:pt>
                <c:pt idx="26">
                  <c:v>55</c:v>
                </c:pt>
              </c:numCache>
            </c:numRef>
          </c:xVal>
          <c:yVal>
            <c:numRef>
              <c:f>GRAFICI!$R$26:$R$52</c:f>
              <c:numCache>
                <c:formatCode>0.00</c:formatCode>
                <c:ptCount val="27"/>
                <c:pt idx="0">
                  <c:v>4.707116543778719</c:v>
                </c:pt>
                <c:pt idx="1">
                  <c:v>3.8987609733270139</c:v>
                </c:pt>
                <c:pt idx="2">
                  <c:v>3.0927272702978512</c:v>
                </c:pt>
                <c:pt idx="3">
                  <c:v>2.2890054452685931</c:v>
                </c:pt>
                <c:pt idx="4">
                  <c:v>1.4875855660381649</c:v>
                </c:pt>
                <c:pt idx="5">
                  <c:v>0.68845775721792146</c:v>
                </c:pt>
                <c:pt idx="6">
                  <c:v>-0.10838780017399029</c:v>
                </c:pt>
                <c:pt idx="7">
                  <c:v>-0.90296086911478368</c:v>
                </c:pt>
                <c:pt idx="8">
                  <c:v>-1.6952711569757608</c:v>
                </c:pt>
                <c:pt idx="9">
                  <c:v>-2.4853283159176343</c:v>
                </c:pt>
                <c:pt idx="10">
                  <c:v>-3.2731419432824826</c:v>
                </c:pt>
                <c:pt idx="11">
                  <c:v>-4.0587215819823692</c:v>
                </c:pt>
                <c:pt idx="12">
                  <c:v>-4.8420767208846645</c:v>
                </c:pt>
                <c:pt idx="13">
                  <c:v>-5.623216795194093</c:v>
                </c:pt>
                <c:pt idx="14">
                  <c:v>-6.4021511868315475</c:v>
                </c:pt>
                <c:pt idx="15">
                  <c:v>-7.1788892248097049</c:v>
                </c:pt>
                <c:pt idx="16">
                  <c:v>-7.9534401856054524</c:v>
                </c:pt>
                <c:pt idx="17">
                  <c:v>-8.7258132935291943</c:v>
                </c:pt>
                <c:pt idx="18">
                  <c:v>-9.496017721091027</c:v>
                </c:pt>
                <c:pt idx="19">
                  <c:v>-10.264062589363849</c:v>
                </c:pt>
                <c:pt idx="20">
                  <c:v>-11.029956968343418</c:v>
                </c:pt>
                <c:pt idx="21">
                  <c:v>-11.793709877305373</c:v>
                </c:pt>
                <c:pt idx="22">
                  <c:v>-12.555330285159286</c:v>
                </c:pt>
                <c:pt idx="23">
                  <c:v>-13.314827110799747</c:v>
                </c:pt>
                <c:pt idx="24">
                  <c:v>-14.072209223454522</c:v>
                </c:pt>
                <c:pt idx="25">
                  <c:v>-14.827485443029756</c:v>
                </c:pt>
                <c:pt idx="26">
                  <c:v>-15.580664540452398</c:v>
                </c:pt>
              </c:numCache>
            </c:numRef>
          </c:yVal>
          <c:smooth val="1"/>
        </c:ser>
        <c:ser>
          <c:idx val="16"/>
          <c:order val="11"/>
          <c:tx>
            <c:strRef>
              <c:f>GRAFICI!$T$19</c:f>
              <c:strCache>
                <c:ptCount val="1"/>
                <c:pt idx="0">
                  <c:v>22,7</c:v>
                </c:pt>
              </c:strCache>
            </c:strRef>
          </c:tx>
          <c:spPr>
            <a:ln w="12700">
              <a:solidFill>
                <a:srgbClr val="00FFFF"/>
              </a:solidFill>
              <a:prstDash val="solid"/>
            </a:ln>
          </c:spPr>
          <c:marker>
            <c:symbol val="none"/>
          </c:marker>
          <c:xVal>
            <c:numRef>
              <c:f>GRAFICI!$A$28:$A$52</c:f>
              <c:numCache>
                <c:formatCode>General</c:formatCode>
                <c:ptCount val="25"/>
                <c:pt idx="0">
                  <c:v>7</c:v>
                </c:pt>
                <c:pt idx="1">
                  <c:v>9</c:v>
                </c:pt>
                <c:pt idx="2">
                  <c:v>11</c:v>
                </c:pt>
                <c:pt idx="3">
                  <c:v>13</c:v>
                </c:pt>
                <c:pt idx="4">
                  <c:v>15</c:v>
                </c:pt>
                <c:pt idx="5">
                  <c:v>17</c:v>
                </c:pt>
                <c:pt idx="6">
                  <c:v>19</c:v>
                </c:pt>
                <c:pt idx="7">
                  <c:v>21</c:v>
                </c:pt>
                <c:pt idx="8">
                  <c:v>23</c:v>
                </c:pt>
                <c:pt idx="9">
                  <c:v>25</c:v>
                </c:pt>
                <c:pt idx="10">
                  <c:v>27</c:v>
                </c:pt>
                <c:pt idx="11">
                  <c:v>29</c:v>
                </c:pt>
                <c:pt idx="12">
                  <c:v>31</c:v>
                </c:pt>
                <c:pt idx="13">
                  <c:v>33</c:v>
                </c:pt>
                <c:pt idx="14">
                  <c:v>35</c:v>
                </c:pt>
                <c:pt idx="15">
                  <c:v>37</c:v>
                </c:pt>
                <c:pt idx="16">
                  <c:v>39</c:v>
                </c:pt>
                <c:pt idx="17">
                  <c:v>41</c:v>
                </c:pt>
                <c:pt idx="18">
                  <c:v>43</c:v>
                </c:pt>
                <c:pt idx="19">
                  <c:v>45</c:v>
                </c:pt>
                <c:pt idx="20">
                  <c:v>47</c:v>
                </c:pt>
                <c:pt idx="21">
                  <c:v>49</c:v>
                </c:pt>
                <c:pt idx="22">
                  <c:v>51</c:v>
                </c:pt>
                <c:pt idx="23">
                  <c:v>53</c:v>
                </c:pt>
                <c:pt idx="24">
                  <c:v>55</c:v>
                </c:pt>
              </c:numCache>
            </c:numRef>
          </c:xVal>
          <c:yVal>
            <c:numRef>
              <c:f>GRAFICI!$T$28:$T$52</c:f>
              <c:numCache>
                <c:formatCode>0.00</c:formatCode>
                <c:ptCount val="25"/>
                <c:pt idx="0">
                  <c:v>6.2370184509977102</c:v>
                </c:pt>
                <c:pt idx="1">
                  <c:v>5.4287873743213844</c:v>
                </c:pt>
                <c:pt idx="2">
                  <c:v>4.6228711584258644</c:v>
                </c:pt>
                <c:pt idx="3">
                  <c:v>3.8192598725170011</c:v>
                </c:pt>
                <c:pt idx="4">
                  <c:v>3.0179436425239095</c:v>
                </c:pt>
                <c:pt idx="5">
                  <c:v>2.2189126506945498</c:v>
                </c:pt>
                <c:pt idx="6">
                  <c:v>1.4221571351947726</c:v>
                </c:pt>
                <c:pt idx="7">
                  <c:v>0.62766738971077318</c:v>
                </c:pt>
                <c:pt idx="8">
                  <c:v>-0.16456623694506023</c:v>
                </c:pt>
                <c:pt idx="9">
                  <c:v>-0.95455334122494639</c:v>
                </c:pt>
                <c:pt idx="10">
                  <c:v>-1.7423034652331977</c:v>
                </c:pt>
                <c:pt idx="11">
                  <c:v>-2.5278260971104052</c:v>
                </c:pt>
                <c:pt idx="12">
                  <c:v>-3.3111306714143849</c:v>
                </c:pt>
                <c:pt idx="13">
                  <c:v>-4.0922265694978917</c:v>
                </c:pt>
                <c:pt idx="14">
                  <c:v>-4.8711231198831468</c:v>
                </c:pt>
                <c:pt idx="15">
                  <c:v>-5.6478295986332077</c:v>
                </c:pt>
                <c:pt idx="16">
                  <c:v>-6.4223552297201989</c:v>
                </c:pt>
                <c:pt idx="17">
                  <c:v>-7.1947091853904634</c:v>
                </c:pt>
                <c:pt idx="18">
                  <c:v>-7.9649005865266327</c:v>
                </c:pt>
                <c:pt idx="19">
                  <c:v>-8.7329385030066593</c:v>
                </c:pt>
                <c:pt idx="20">
                  <c:v>-9.498831954059856</c:v>
                </c:pt>
                <c:pt idx="21">
                  <c:v>-10.262589908619942</c:v>
                </c:pt>
                <c:pt idx="22">
                  <c:v>-11.024221285675146</c:v>
                </c:pt>
                <c:pt idx="23">
                  <c:v>-11.783734954615388</c:v>
                </c:pt>
                <c:pt idx="24">
                  <c:v>-12.54113973557657</c:v>
                </c:pt>
              </c:numCache>
            </c:numRef>
          </c:yVal>
          <c:smooth val="1"/>
        </c:ser>
        <c:ser>
          <c:idx val="17"/>
          <c:order val="12"/>
          <c:tx>
            <c:strRef>
              <c:f>GRAFICI!$U$19</c:f>
              <c:strCache>
                <c:ptCount val="1"/>
                <c:pt idx="0">
                  <c:v>27,1</c:v>
                </c:pt>
              </c:strCache>
            </c:strRef>
          </c:tx>
          <c:spPr>
            <a:ln w="12700">
              <a:solidFill>
                <a:srgbClr val="00FFFF"/>
              </a:solidFill>
              <a:prstDash val="solid"/>
            </a:ln>
          </c:spPr>
          <c:marker>
            <c:symbol val="none"/>
          </c:marker>
          <c:xVal>
            <c:numRef>
              <c:f>GRAFICI!$A$29:$A$52</c:f>
              <c:numCache>
                <c:formatCode>General</c:formatCode>
                <c:ptCount val="24"/>
                <c:pt idx="0">
                  <c:v>9</c:v>
                </c:pt>
                <c:pt idx="1">
                  <c:v>11</c:v>
                </c:pt>
                <c:pt idx="2">
                  <c:v>13</c:v>
                </c:pt>
                <c:pt idx="3">
                  <c:v>15</c:v>
                </c:pt>
                <c:pt idx="4">
                  <c:v>17</c:v>
                </c:pt>
                <c:pt idx="5">
                  <c:v>19</c:v>
                </c:pt>
                <c:pt idx="6">
                  <c:v>21</c:v>
                </c:pt>
                <c:pt idx="7">
                  <c:v>23</c:v>
                </c:pt>
                <c:pt idx="8">
                  <c:v>25</c:v>
                </c:pt>
                <c:pt idx="9">
                  <c:v>27</c:v>
                </c:pt>
                <c:pt idx="10">
                  <c:v>29</c:v>
                </c:pt>
                <c:pt idx="11">
                  <c:v>31</c:v>
                </c:pt>
                <c:pt idx="12">
                  <c:v>33</c:v>
                </c:pt>
                <c:pt idx="13">
                  <c:v>35</c:v>
                </c:pt>
                <c:pt idx="14">
                  <c:v>37</c:v>
                </c:pt>
                <c:pt idx="15">
                  <c:v>39</c:v>
                </c:pt>
                <c:pt idx="16">
                  <c:v>41</c:v>
                </c:pt>
                <c:pt idx="17">
                  <c:v>43</c:v>
                </c:pt>
                <c:pt idx="18">
                  <c:v>45</c:v>
                </c:pt>
                <c:pt idx="19">
                  <c:v>47</c:v>
                </c:pt>
                <c:pt idx="20">
                  <c:v>49</c:v>
                </c:pt>
                <c:pt idx="21">
                  <c:v>51</c:v>
                </c:pt>
                <c:pt idx="22">
                  <c:v>53</c:v>
                </c:pt>
                <c:pt idx="23">
                  <c:v>55</c:v>
                </c:pt>
              </c:numCache>
            </c:numRef>
          </c:xVal>
          <c:yVal>
            <c:numRef>
              <c:f>GRAFICI!$U$29:$U$52</c:f>
              <c:numCache>
                <c:formatCode>0.00</c:formatCode>
                <c:ptCount val="24"/>
                <c:pt idx="0">
                  <c:v>7.1572402870175393</c:v>
                </c:pt>
                <c:pt idx="1">
                  <c:v>6.3488488335479278</c:v>
                </c:pt>
                <c:pt idx="2">
                  <c:v>5.5427693892739516</c:v>
                </c:pt>
                <c:pt idx="3">
                  <c:v>4.7389920497981537</c:v>
                </c:pt>
                <c:pt idx="4">
                  <c:v>3.9375069672149041</c:v>
                </c:pt>
                <c:pt idx="5">
                  <c:v>3.1383043497082053</c:v>
                </c:pt>
                <c:pt idx="6">
                  <c:v>2.3413744611529239</c:v>
                </c:pt>
                <c:pt idx="7">
                  <c:v>1.546707620719431</c:v>
                </c:pt>
                <c:pt idx="8">
                  <c:v>0.75429420248160117</c:v>
                </c:pt>
                <c:pt idx="9">
                  <c:v>-3.5875364971863222E-2</c:v>
                </c:pt>
                <c:pt idx="10">
                  <c:v>-0.82381059892279895</c:v>
                </c:pt>
                <c:pt idx="11">
                  <c:v>-1.6095209629056964</c:v>
                </c:pt>
                <c:pt idx="12">
                  <c:v>-2.3930158670865747</c:v>
                </c:pt>
                <c:pt idx="13">
                  <c:v>-3.1743046686386598</c:v>
                </c:pt>
                <c:pt idx="14">
                  <c:v>-3.9533966721148914</c:v>
                </c:pt>
                <c:pt idx="15">
                  <c:v>-4.7303011298172919</c:v>
                </c:pt>
                <c:pt idx="16">
                  <c:v>-5.5050272421632336</c:v>
                </c:pt>
                <c:pt idx="17">
                  <c:v>-6.2775841580486187</c:v>
                </c:pt>
                <c:pt idx="18">
                  <c:v>-7.0479809752080245</c:v>
                </c:pt>
                <c:pt idx="19">
                  <c:v>-7.8162267405718229</c:v>
                </c:pt>
                <c:pt idx="20">
                  <c:v>-8.5823304506203186</c:v>
                </c:pt>
                <c:pt idx="21">
                  <c:v>-9.346301051734935</c:v>
                </c:pt>
                <c:pt idx="22">
                  <c:v>-10.108147440546444</c:v>
                </c:pt>
                <c:pt idx="23">
                  <c:v>-10.867878464280329</c:v>
                </c:pt>
              </c:numCache>
            </c:numRef>
          </c:yVal>
          <c:smooth val="1"/>
        </c:ser>
        <c:ser>
          <c:idx val="18"/>
          <c:order val="13"/>
          <c:tx>
            <c:strRef>
              <c:f>GRAFICI!$V$19</c:f>
              <c:strCache>
                <c:ptCount val="1"/>
                <c:pt idx="0">
                  <c:v>31,7</c:v>
                </c:pt>
              </c:strCache>
            </c:strRef>
          </c:tx>
          <c:spPr>
            <a:ln w="12700">
              <a:solidFill>
                <a:srgbClr val="00FFFF"/>
              </a:solidFill>
              <a:prstDash val="solid"/>
            </a:ln>
          </c:spPr>
          <c:marker>
            <c:symbol val="none"/>
          </c:marker>
          <c:xVal>
            <c:numRef>
              <c:f>GRAFICI!$A$30:$A$52</c:f>
              <c:numCache>
                <c:formatCode>General</c:formatCode>
                <c:ptCount val="23"/>
                <c:pt idx="0">
                  <c:v>11</c:v>
                </c:pt>
                <c:pt idx="1">
                  <c:v>13</c:v>
                </c:pt>
                <c:pt idx="2">
                  <c:v>15</c:v>
                </c:pt>
                <c:pt idx="3">
                  <c:v>17</c:v>
                </c:pt>
                <c:pt idx="4">
                  <c:v>19</c:v>
                </c:pt>
                <c:pt idx="5">
                  <c:v>21</c:v>
                </c:pt>
                <c:pt idx="6">
                  <c:v>23</c:v>
                </c:pt>
                <c:pt idx="7">
                  <c:v>25</c:v>
                </c:pt>
                <c:pt idx="8">
                  <c:v>27</c:v>
                </c:pt>
                <c:pt idx="9">
                  <c:v>29</c:v>
                </c:pt>
                <c:pt idx="10">
                  <c:v>31</c:v>
                </c:pt>
                <c:pt idx="11">
                  <c:v>33</c:v>
                </c:pt>
                <c:pt idx="12">
                  <c:v>35</c:v>
                </c:pt>
                <c:pt idx="13">
                  <c:v>37</c:v>
                </c:pt>
                <c:pt idx="14">
                  <c:v>39</c:v>
                </c:pt>
                <c:pt idx="15">
                  <c:v>41</c:v>
                </c:pt>
                <c:pt idx="16">
                  <c:v>43</c:v>
                </c:pt>
                <c:pt idx="17">
                  <c:v>45</c:v>
                </c:pt>
                <c:pt idx="18">
                  <c:v>47</c:v>
                </c:pt>
                <c:pt idx="19">
                  <c:v>49</c:v>
                </c:pt>
                <c:pt idx="20">
                  <c:v>51</c:v>
                </c:pt>
                <c:pt idx="21">
                  <c:v>53</c:v>
                </c:pt>
                <c:pt idx="22">
                  <c:v>55</c:v>
                </c:pt>
              </c:numCache>
            </c:numRef>
          </c:xVal>
          <c:yVal>
            <c:numRef>
              <c:f>GRAFICI!$V$30:$V$52</c:f>
              <c:numCache>
                <c:formatCode>0.00</c:formatCode>
                <c:ptCount val="23"/>
                <c:pt idx="0">
                  <c:v>8.1970616918168986</c:v>
                </c:pt>
                <c:pt idx="1">
                  <c:v>7.3883392921371822</c:v>
                </c:pt>
                <c:pt idx="2">
                  <c:v>6.5819265453458042</c:v>
                </c:pt>
                <c:pt idx="3">
                  <c:v>5.7778135712480392</c:v>
                </c:pt>
                <c:pt idx="4">
                  <c:v>4.9759905459226994</c:v>
                </c:pt>
                <c:pt idx="5">
                  <c:v>4.1764477013220622</c:v>
                </c:pt>
                <c:pt idx="6">
                  <c:v>3.379175324875209</c:v>
                </c:pt>
                <c:pt idx="7">
                  <c:v>2.5841637590947397</c:v>
                </c:pt>
                <c:pt idx="8">
                  <c:v>1.7914034011868267</c:v>
                </c:pt>
                <c:pt idx="9">
                  <c:v>1.0008847026645804</c:v>
                </c:pt>
                <c:pt idx="10">
                  <c:v>0.21259816896468359</c:v>
                </c:pt>
                <c:pt idx="11">
                  <c:v>-0.57346564093272701</c:v>
                </c:pt>
                <c:pt idx="12">
                  <c:v>-1.3573161148809689</c:v>
                </c:pt>
                <c:pt idx="13">
                  <c:v>-2.1389625879405436</c:v>
                </c:pt>
                <c:pt idx="14">
                  <c:v>-2.9184143427497173</c:v>
                </c:pt>
                <c:pt idx="15">
                  <c:v>-3.6956806098919843</c:v>
                </c:pt>
                <c:pt idx="16">
                  <c:v>-4.4707705682604466</c:v>
                </c:pt>
                <c:pt idx="17">
                  <c:v>-5.2436933454191292</c:v>
                </c:pt>
                <c:pt idx="18">
                  <c:v>-6.0144580179612817</c:v>
                </c:pt>
                <c:pt idx="19">
                  <c:v>-6.7830736118646673</c:v>
                </c:pt>
                <c:pt idx="20">
                  <c:v>-7.5495491028439057</c:v>
                </c:pt>
                <c:pt idx="21">
                  <c:v>-8.3138934166998464</c:v>
                </c:pt>
                <c:pt idx="22">
                  <c:v>-9.0761154296660571</c:v>
                </c:pt>
              </c:numCache>
            </c:numRef>
          </c:yVal>
          <c:smooth val="1"/>
        </c:ser>
        <c:ser>
          <c:idx val="19"/>
          <c:order val="14"/>
          <c:tx>
            <c:strRef>
              <c:f>GRAFICI!$W$19</c:f>
              <c:strCache>
                <c:ptCount val="1"/>
                <c:pt idx="0">
                  <c:v>36,7</c:v>
                </c:pt>
              </c:strCache>
            </c:strRef>
          </c:tx>
          <c:spPr>
            <a:ln w="12700">
              <a:solidFill>
                <a:srgbClr val="00FFFF"/>
              </a:solidFill>
              <a:prstDash val="solid"/>
            </a:ln>
          </c:spPr>
          <c:marker>
            <c:symbol val="none"/>
          </c:marker>
          <c:xVal>
            <c:numRef>
              <c:f>GRAFICI!$A$31:$A$52</c:f>
              <c:numCache>
                <c:formatCode>General</c:formatCode>
                <c:ptCount val="22"/>
                <c:pt idx="0">
                  <c:v>13</c:v>
                </c:pt>
                <c:pt idx="1">
                  <c:v>15</c:v>
                </c:pt>
                <c:pt idx="2">
                  <c:v>17</c:v>
                </c:pt>
                <c:pt idx="3">
                  <c:v>19</c:v>
                </c:pt>
                <c:pt idx="4">
                  <c:v>21</c:v>
                </c:pt>
                <c:pt idx="5">
                  <c:v>23</c:v>
                </c:pt>
                <c:pt idx="6">
                  <c:v>25</c:v>
                </c:pt>
                <c:pt idx="7">
                  <c:v>27</c:v>
                </c:pt>
                <c:pt idx="8">
                  <c:v>29</c:v>
                </c:pt>
                <c:pt idx="9">
                  <c:v>31</c:v>
                </c:pt>
                <c:pt idx="10">
                  <c:v>33</c:v>
                </c:pt>
                <c:pt idx="11">
                  <c:v>35</c:v>
                </c:pt>
                <c:pt idx="12">
                  <c:v>37</c:v>
                </c:pt>
                <c:pt idx="13">
                  <c:v>39</c:v>
                </c:pt>
                <c:pt idx="14">
                  <c:v>41</c:v>
                </c:pt>
                <c:pt idx="15">
                  <c:v>43</c:v>
                </c:pt>
                <c:pt idx="16">
                  <c:v>45</c:v>
                </c:pt>
                <c:pt idx="17">
                  <c:v>47</c:v>
                </c:pt>
                <c:pt idx="18">
                  <c:v>49</c:v>
                </c:pt>
                <c:pt idx="19">
                  <c:v>51</c:v>
                </c:pt>
                <c:pt idx="20">
                  <c:v>53</c:v>
                </c:pt>
                <c:pt idx="21">
                  <c:v>55</c:v>
                </c:pt>
              </c:numCache>
            </c:numRef>
          </c:xVal>
          <c:yVal>
            <c:numRef>
              <c:f>GRAFICI!$W$31:$W$52</c:f>
              <c:numCache>
                <c:formatCode>0.00</c:formatCode>
                <c:ptCount val="22"/>
                <c:pt idx="0">
                  <c:v>9.3701021568086542</c:v>
                </c:pt>
                <c:pt idx="1">
                  <c:v>8.5608595240599907</c:v>
                </c:pt>
                <c:pt idx="2">
                  <c:v>7.7539247344310063</c:v>
                </c:pt>
                <c:pt idx="3">
                  <c:v>6.9492879295261343</c:v>
                </c:pt>
                <c:pt idx="4">
                  <c:v>6.1469393070193483</c:v>
                </c:pt>
                <c:pt idx="5">
                  <c:v>5.3468691202561089</c:v>
                </c:pt>
                <c:pt idx="6">
                  <c:v>4.5490676778586918</c:v>
                </c:pt>
                <c:pt idx="7">
                  <c:v>3.7535253433348803</c:v>
                </c:pt>
                <c:pt idx="8">
                  <c:v>2.9602325346899701</c:v>
                </c:pt>
                <c:pt idx="9">
                  <c:v>2.1691797240420581</c:v>
                </c:pt>
                <c:pt idx="10">
                  <c:v>1.3803574372405933</c:v>
                </c:pt>
                <c:pt idx="11">
                  <c:v>0.5937562534881432</c:v>
                </c:pt>
                <c:pt idx="12">
                  <c:v>-0.19063319503464693</c:v>
                </c:pt>
                <c:pt idx="13">
                  <c:v>-0.97282022354093456</c:v>
                </c:pt>
                <c:pt idx="14">
                  <c:v>-1.7528140950064337</c:v>
                </c:pt>
                <c:pt idx="15">
                  <c:v>-2.5306240205350714</c:v>
                </c:pt>
                <c:pt idx="16">
                  <c:v>-3.3062591597215745</c:v>
                </c:pt>
                <c:pt idx="17">
                  <c:v>-4.0797286210110242</c:v>
                </c:pt>
                <c:pt idx="18">
                  <c:v>-4.8510414620553961</c:v>
                </c:pt>
                <c:pt idx="19">
                  <c:v>-5.6202066900671364</c:v>
                </c:pt>
                <c:pt idx="20">
                  <c:v>-6.3872332621697598</c:v>
                </c:pt>
                <c:pt idx="21">
                  <c:v>-7.1521300857455605</c:v>
                </c:pt>
              </c:numCache>
            </c:numRef>
          </c:yVal>
          <c:smooth val="1"/>
        </c:ser>
        <c:ser>
          <c:idx val="20"/>
          <c:order val="15"/>
          <c:tx>
            <c:strRef>
              <c:f>GRAFICI!$X$19</c:f>
              <c:strCache>
                <c:ptCount val="1"/>
                <c:pt idx="0">
                  <c:v>42,1</c:v>
                </c:pt>
              </c:strCache>
            </c:strRef>
          </c:tx>
          <c:spPr>
            <a:ln w="12700">
              <a:solidFill>
                <a:srgbClr val="00FFFF"/>
              </a:solidFill>
              <a:prstDash val="solid"/>
            </a:ln>
          </c:spPr>
          <c:marker>
            <c:symbol val="none"/>
          </c:marker>
          <c:xVal>
            <c:numRef>
              <c:f>GRAFICI!$A$32:$A$52</c:f>
              <c:numCache>
                <c:formatCode>General</c:formatCode>
                <c:ptCount val="21"/>
                <c:pt idx="0">
                  <c:v>15</c:v>
                </c:pt>
                <c:pt idx="1">
                  <c:v>17</c:v>
                </c:pt>
                <c:pt idx="2">
                  <c:v>19</c:v>
                </c:pt>
                <c:pt idx="3">
                  <c:v>21</c:v>
                </c:pt>
                <c:pt idx="4">
                  <c:v>23</c:v>
                </c:pt>
                <c:pt idx="5">
                  <c:v>25</c:v>
                </c:pt>
                <c:pt idx="6">
                  <c:v>27</c:v>
                </c:pt>
                <c:pt idx="7">
                  <c:v>29</c:v>
                </c:pt>
                <c:pt idx="8">
                  <c:v>31</c:v>
                </c:pt>
                <c:pt idx="9">
                  <c:v>33</c:v>
                </c:pt>
                <c:pt idx="10">
                  <c:v>35</c:v>
                </c:pt>
                <c:pt idx="11">
                  <c:v>37</c:v>
                </c:pt>
                <c:pt idx="12">
                  <c:v>39</c:v>
                </c:pt>
                <c:pt idx="13">
                  <c:v>41</c:v>
                </c:pt>
                <c:pt idx="14">
                  <c:v>43</c:v>
                </c:pt>
                <c:pt idx="15">
                  <c:v>45</c:v>
                </c:pt>
                <c:pt idx="16">
                  <c:v>47</c:v>
                </c:pt>
                <c:pt idx="17">
                  <c:v>49</c:v>
                </c:pt>
                <c:pt idx="18">
                  <c:v>51</c:v>
                </c:pt>
                <c:pt idx="19">
                  <c:v>53</c:v>
                </c:pt>
                <c:pt idx="20">
                  <c:v>55</c:v>
                </c:pt>
              </c:numCache>
            </c:numRef>
          </c:xVal>
          <c:yVal>
            <c:numRef>
              <c:f>GRAFICI!$X$32:$X$52</c:f>
              <c:numCache>
                <c:formatCode>0.00</c:formatCode>
                <c:ptCount val="21"/>
                <c:pt idx="0">
                  <c:v>10.691378827115578</c:v>
                </c:pt>
                <c:pt idx="1">
                  <c:v>9.8814060708027327</c:v>
                </c:pt>
                <c:pt idx="2">
                  <c:v>9.0737399507198226</c:v>
                </c:pt>
                <c:pt idx="3">
                  <c:v>8.2683706276368021</c:v>
                </c:pt>
                <c:pt idx="4">
                  <c:v>7.4652883182046974</c:v>
                </c:pt>
                <c:pt idx="5">
                  <c:v>6.6644832945594636</c:v>
                </c:pt>
                <c:pt idx="6">
                  <c:v>5.8659458839291991</c:v>
                </c:pt>
                <c:pt idx="7">
                  <c:v>5.069666468244681</c:v>
                </c:pt>
                <c:pt idx="8">
                  <c:v>4.27563548375322</c:v>
                </c:pt>
                <c:pt idx="9">
                  <c:v>3.4838434206357638</c:v>
                </c:pt>
                <c:pt idx="10">
                  <c:v>2.6942808226272441</c:v>
                </c:pt>
                <c:pt idx="11">
                  <c:v>1.9069382866401254</c:v>
                </c:pt>
                <c:pt idx="12">
                  <c:v>1.1218064623911197</c:v>
                </c:pt>
                <c:pt idx="13">
                  <c:v>0.33887605203104959</c:v>
                </c:pt>
                <c:pt idx="14">
                  <c:v>-0.44186219022218814</c:v>
                </c:pt>
                <c:pt idx="15">
                  <c:v>-1.2204174584475747</c:v>
                </c:pt>
                <c:pt idx="16">
                  <c:v>-1.9967988953818743</c:v>
                </c:pt>
                <c:pt idx="17">
                  <c:v>-2.7710155927775184</c:v>
                </c:pt>
                <c:pt idx="18">
                  <c:v>-3.5430765917575147</c:v>
                </c:pt>
                <c:pt idx="19">
                  <c:v>-4.3129908831673642</c:v>
                </c:pt>
                <c:pt idx="20">
                  <c:v>-5.0807674079240783</c:v>
                </c:pt>
              </c:numCache>
            </c:numRef>
          </c:yVal>
          <c:smooth val="1"/>
        </c:ser>
        <c:ser>
          <c:idx val="22"/>
          <c:order val="16"/>
          <c:tx>
            <c:strRef>
              <c:f>GRAFICI!$Z$19</c:f>
              <c:strCache>
                <c:ptCount val="1"/>
                <c:pt idx="0">
                  <c:v>54,2</c:v>
                </c:pt>
              </c:strCache>
            </c:strRef>
          </c:tx>
          <c:spPr>
            <a:ln w="12700">
              <a:solidFill>
                <a:srgbClr val="00FFFF"/>
              </a:solidFill>
              <a:prstDash val="solid"/>
            </a:ln>
          </c:spPr>
          <c:marker>
            <c:symbol val="none"/>
          </c:marker>
          <c:xVal>
            <c:numRef>
              <c:f>GRAFICI!$A$34:$A$52</c:f>
              <c:numCache>
                <c:formatCode>General</c:formatCode>
                <c:ptCount val="19"/>
                <c:pt idx="0">
                  <c:v>19</c:v>
                </c:pt>
                <c:pt idx="1">
                  <c:v>21</c:v>
                </c:pt>
                <c:pt idx="2">
                  <c:v>23</c:v>
                </c:pt>
                <c:pt idx="3">
                  <c:v>25</c:v>
                </c:pt>
                <c:pt idx="4">
                  <c:v>27</c:v>
                </c:pt>
                <c:pt idx="5">
                  <c:v>29</c:v>
                </c:pt>
                <c:pt idx="6">
                  <c:v>31</c:v>
                </c:pt>
                <c:pt idx="7">
                  <c:v>33</c:v>
                </c:pt>
                <c:pt idx="8">
                  <c:v>35</c:v>
                </c:pt>
                <c:pt idx="9">
                  <c:v>37</c:v>
                </c:pt>
                <c:pt idx="10">
                  <c:v>39</c:v>
                </c:pt>
                <c:pt idx="11">
                  <c:v>41</c:v>
                </c:pt>
                <c:pt idx="12">
                  <c:v>43</c:v>
                </c:pt>
                <c:pt idx="13">
                  <c:v>45</c:v>
                </c:pt>
                <c:pt idx="14">
                  <c:v>47</c:v>
                </c:pt>
                <c:pt idx="15">
                  <c:v>49</c:v>
                </c:pt>
                <c:pt idx="16">
                  <c:v>51</c:v>
                </c:pt>
                <c:pt idx="17">
                  <c:v>53</c:v>
                </c:pt>
                <c:pt idx="18">
                  <c:v>55</c:v>
                </c:pt>
              </c:numCache>
            </c:numRef>
          </c:xVal>
          <c:yVal>
            <c:numRef>
              <c:f>GRAFICI!$Z$34:$Z$52</c:f>
              <c:numCache>
                <c:formatCode>0.00</c:formatCode>
                <c:ptCount val="19"/>
                <c:pt idx="0">
                  <c:v>13.846603208863057</c:v>
                </c:pt>
                <c:pt idx="1">
                  <c:v>13.034447481262379</c:v>
                </c:pt>
                <c:pt idx="2">
                  <c:v>12.224598038719327</c:v>
                </c:pt>
                <c:pt idx="3">
                  <c:v>11.417045071398485</c:v>
                </c:pt>
                <c:pt idx="4">
                  <c:v>10.611778825020822</c:v>
                </c:pt>
                <c:pt idx="5">
                  <c:v>9.8087896004709396</c:v>
                </c:pt>
                <c:pt idx="6">
                  <c:v>9.008067753407655</c:v>
                </c:pt>
                <c:pt idx="7">
                  <c:v>8.2096036938779005</c:v>
                </c:pt>
                <c:pt idx="8">
                  <c:v>7.4133878859338633</c:v>
                </c:pt>
                <c:pt idx="9">
                  <c:v>6.6194108472533593</c:v>
                </c:pt>
                <c:pt idx="10">
                  <c:v>5.827663148763401</c:v>
                </c:pt>
                <c:pt idx="11">
                  <c:v>5.0381354142669492</c:v>
                </c:pt>
                <c:pt idx="12">
                  <c:v>4.2508183200727778</c:v>
                </c:pt>
                <c:pt idx="13">
                  <c:v>3.4657025946284561</c:v>
                </c:pt>
                <c:pt idx="14">
                  <c:v>2.6827790181564035</c:v>
                </c:pt>
                <c:pt idx="15">
                  <c:v>1.9020384222929898</c:v>
                </c:pt>
                <c:pt idx="16">
                  <c:v>1.1234716897306347</c:v>
                </c:pt>
                <c:pt idx="17">
                  <c:v>0.34706975386292427</c:v>
                </c:pt>
                <c:pt idx="18">
                  <c:v>-0.42717640156734588</c:v>
                </c:pt>
              </c:numCache>
            </c:numRef>
          </c:yVal>
          <c:smooth val="1"/>
        </c:ser>
        <c:ser>
          <c:idx val="23"/>
          <c:order val="17"/>
          <c:tx>
            <c:strRef>
              <c:f>GRAFICI!$AA$19</c:f>
              <c:strCache>
                <c:ptCount val="1"/>
                <c:pt idx="0">
                  <c:v>61,0</c:v>
                </c:pt>
              </c:strCache>
            </c:strRef>
          </c:tx>
          <c:spPr>
            <a:ln w="12700">
              <a:solidFill>
                <a:srgbClr val="00FFFF"/>
              </a:solidFill>
              <a:prstDash val="solid"/>
            </a:ln>
          </c:spPr>
          <c:marker>
            <c:symbol val="none"/>
          </c:marker>
          <c:xVal>
            <c:numRef>
              <c:f>GRAFICI!$A$35:$A$52</c:f>
              <c:numCache>
                <c:formatCode>General</c:formatCode>
                <c:ptCount val="18"/>
                <c:pt idx="0">
                  <c:v>21</c:v>
                </c:pt>
                <c:pt idx="1">
                  <c:v>23</c:v>
                </c:pt>
                <c:pt idx="2">
                  <c:v>25</c:v>
                </c:pt>
                <c:pt idx="3">
                  <c:v>27</c:v>
                </c:pt>
                <c:pt idx="4">
                  <c:v>29</c:v>
                </c:pt>
                <c:pt idx="5">
                  <c:v>31</c:v>
                </c:pt>
                <c:pt idx="6">
                  <c:v>33</c:v>
                </c:pt>
                <c:pt idx="7">
                  <c:v>35</c:v>
                </c:pt>
                <c:pt idx="8">
                  <c:v>37</c:v>
                </c:pt>
                <c:pt idx="9">
                  <c:v>39</c:v>
                </c:pt>
                <c:pt idx="10">
                  <c:v>41</c:v>
                </c:pt>
                <c:pt idx="11">
                  <c:v>43</c:v>
                </c:pt>
                <c:pt idx="12">
                  <c:v>45</c:v>
                </c:pt>
                <c:pt idx="13">
                  <c:v>47</c:v>
                </c:pt>
                <c:pt idx="14">
                  <c:v>49</c:v>
                </c:pt>
                <c:pt idx="15">
                  <c:v>51</c:v>
                </c:pt>
                <c:pt idx="16">
                  <c:v>53</c:v>
                </c:pt>
                <c:pt idx="17">
                  <c:v>55</c:v>
                </c:pt>
              </c:numCache>
            </c:numRef>
          </c:xVal>
          <c:yVal>
            <c:numRef>
              <c:f>GRAFICI!$AA$35:$AA$52</c:f>
              <c:numCache>
                <c:formatCode>0.00</c:formatCode>
                <c:ptCount val="18"/>
                <c:pt idx="0">
                  <c:v>15.719006945995526</c:v>
                </c:pt>
                <c:pt idx="1">
                  <c:v>14.905345821056228</c:v>
                </c:pt>
                <c:pt idx="2">
                  <c:v>14.093991980057059</c:v>
                </c:pt>
                <c:pt idx="3">
                  <c:v>13.28493562280895</c:v>
                </c:pt>
                <c:pt idx="4">
                  <c:v>12.478167004546108</c:v>
                </c:pt>
                <c:pt idx="5">
                  <c:v>11.673676435534759</c:v>
                </c:pt>
                <c:pt idx="6">
                  <c:v>10.87145428068523</c:v>
                </c:pt>
                <c:pt idx="7">
                  <c:v>10.071490959167285</c:v>
                </c:pt>
                <c:pt idx="8">
                  <c:v>9.2737769440287163</c:v>
                </c:pt>
                <c:pt idx="9">
                  <c:v>8.4783027618171367</c:v>
                </c:pt>
                <c:pt idx="10">
                  <c:v>7.6850589922049766</c:v>
                </c:pt>
                <c:pt idx="11">
                  <c:v>6.8940362676176079</c:v>
                </c:pt>
                <c:pt idx="12">
                  <c:v>6.1052252728645939</c:v>
                </c:pt>
                <c:pt idx="13">
                  <c:v>5.3186167447740376</c:v>
                </c:pt>
                <c:pt idx="14">
                  <c:v>4.5342014718299799</c:v>
                </c:pt>
                <c:pt idx="15">
                  <c:v>3.7519702938128119</c:v>
                </c:pt>
                <c:pt idx="16">
                  <c:v>2.9719141014427275</c:v>
                </c:pt>
                <c:pt idx="17">
                  <c:v>2.1940238360261048</c:v>
                </c:pt>
              </c:numCache>
            </c:numRef>
          </c:yVal>
          <c:smooth val="1"/>
        </c:ser>
        <c:ser>
          <c:idx val="24"/>
          <c:order val="18"/>
          <c:tx>
            <c:strRef>
              <c:f>GRAFICI!$AB$19</c:f>
              <c:strCache>
                <c:ptCount val="1"/>
                <c:pt idx="0">
                  <c:v>68,4</c:v>
                </c:pt>
              </c:strCache>
            </c:strRef>
          </c:tx>
          <c:spPr>
            <a:ln w="12700">
              <a:solidFill>
                <a:srgbClr val="00FFFF"/>
              </a:solidFill>
              <a:prstDash val="solid"/>
            </a:ln>
          </c:spPr>
          <c:marker>
            <c:symbol val="none"/>
          </c:marker>
          <c:xVal>
            <c:numRef>
              <c:f>GRAFICI!$A$36:$A$52</c:f>
              <c:numCache>
                <c:formatCode>General</c:formatCode>
                <c:ptCount val="17"/>
                <c:pt idx="0">
                  <c:v>23</c:v>
                </c:pt>
                <c:pt idx="1">
                  <c:v>25</c:v>
                </c:pt>
                <c:pt idx="2">
                  <c:v>27</c:v>
                </c:pt>
                <c:pt idx="3">
                  <c:v>29</c:v>
                </c:pt>
                <c:pt idx="4">
                  <c:v>31</c:v>
                </c:pt>
                <c:pt idx="5">
                  <c:v>33</c:v>
                </c:pt>
                <c:pt idx="6">
                  <c:v>35</c:v>
                </c:pt>
                <c:pt idx="7">
                  <c:v>37</c:v>
                </c:pt>
                <c:pt idx="8">
                  <c:v>39</c:v>
                </c:pt>
                <c:pt idx="9">
                  <c:v>41</c:v>
                </c:pt>
                <c:pt idx="10">
                  <c:v>43</c:v>
                </c:pt>
                <c:pt idx="11">
                  <c:v>45</c:v>
                </c:pt>
                <c:pt idx="12">
                  <c:v>47</c:v>
                </c:pt>
                <c:pt idx="13">
                  <c:v>49</c:v>
                </c:pt>
                <c:pt idx="14">
                  <c:v>51</c:v>
                </c:pt>
                <c:pt idx="15">
                  <c:v>53</c:v>
                </c:pt>
                <c:pt idx="16">
                  <c:v>55</c:v>
                </c:pt>
              </c:numCache>
            </c:numRef>
          </c:xVal>
          <c:yVal>
            <c:numRef>
              <c:f>GRAFICI!$AB$36:$AB$52</c:f>
              <c:numCache>
                <c:formatCode>0.00</c:formatCode>
                <c:ptCount val="17"/>
                <c:pt idx="0">
                  <c:v>17.816971912225409</c:v>
                </c:pt>
                <c:pt idx="1">
                  <c:v>17.001489848853371</c:v>
                </c:pt>
                <c:pt idx="2">
                  <c:v>16.188316958982711</c:v>
                </c:pt>
                <c:pt idx="3">
                  <c:v>15.377443448265623</c:v>
                </c:pt>
                <c:pt idx="4">
                  <c:v>14.568859577666322</c:v>
                </c:pt>
                <c:pt idx="5">
                  <c:v>13.762555663071153</c:v>
                </c:pt>
                <c:pt idx="6">
                  <c:v>12.95852207490198</c:v>
                </c:pt>
                <c:pt idx="7">
                  <c:v>12.156749237732827</c:v>
                </c:pt>
                <c:pt idx="8">
                  <c:v>11.357227629909753</c:v>
                </c:pt>
                <c:pt idx="9">
                  <c:v>10.55994778317393</c:v>
                </c:pt>
                <c:pt idx="10">
                  <c:v>9.7649002822878899</c:v>
                </c:pt>
                <c:pt idx="11">
                  <c:v>8.9720757646648863</c:v>
                </c:pt>
                <c:pt idx="12">
                  <c:v>8.1814649200013854</c:v>
                </c:pt>
                <c:pt idx="13">
                  <c:v>7.3930584899126224</c:v>
                </c:pt>
                <c:pt idx="14">
                  <c:v>6.6068472675711822</c:v>
                </c:pt>
                <c:pt idx="15">
                  <c:v>5.8228220973486344</c:v>
                </c:pt>
                <c:pt idx="16">
                  <c:v>5.0409738744601196</c:v>
                </c:pt>
              </c:numCache>
            </c:numRef>
          </c:yVal>
          <c:smooth val="1"/>
        </c:ser>
        <c:ser>
          <c:idx val="25"/>
          <c:order val="19"/>
          <c:tx>
            <c:strRef>
              <c:f>GRAFICI!$AC$19</c:f>
              <c:strCache>
                <c:ptCount val="1"/>
                <c:pt idx="0">
                  <c:v>76,5</c:v>
                </c:pt>
              </c:strCache>
            </c:strRef>
          </c:tx>
          <c:spPr>
            <a:ln w="12700">
              <a:solidFill>
                <a:srgbClr val="00FFFF"/>
              </a:solidFill>
              <a:prstDash val="solid"/>
            </a:ln>
          </c:spPr>
          <c:marker>
            <c:symbol val="none"/>
          </c:marker>
          <c:xVal>
            <c:numRef>
              <c:f>GRAFICI!$A$37:$A$52</c:f>
              <c:numCache>
                <c:formatCode>General</c:formatCode>
                <c:ptCount val="16"/>
                <c:pt idx="0">
                  <c:v>25</c:v>
                </c:pt>
                <c:pt idx="1">
                  <c:v>27</c:v>
                </c:pt>
                <c:pt idx="2">
                  <c:v>29</c:v>
                </c:pt>
                <c:pt idx="3">
                  <c:v>31</c:v>
                </c:pt>
                <c:pt idx="4">
                  <c:v>33</c:v>
                </c:pt>
                <c:pt idx="5">
                  <c:v>35</c:v>
                </c:pt>
                <c:pt idx="6">
                  <c:v>37</c:v>
                </c:pt>
                <c:pt idx="7">
                  <c:v>39</c:v>
                </c:pt>
                <c:pt idx="8">
                  <c:v>41</c:v>
                </c:pt>
                <c:pt idx="9">
                  <c:v>43</c:v>
                </c:pt>
                <c:pt idx="10">
                  <c:v>45</c:v>
                </c:pt>
                <c:pt idx="11">
                  <c:v>47</c:v>
                </c:pt>
                <c:pt idx="12">
                  <c:v>49</c:v>
                </c:pt>
                <c:pt idx="13">
                  <c:v>51</c:v>
                </c:pt>
                <c:pt idx="14">
                  <c:v>53</c:v>
                </c:pt>
                <c:pt idx="15">
                  <c:v>55</c:v>
                </c:pt>
              </c:numCache>
            </c:numRef>
          </c:xVal>
          <c:yVal>
            <c:numRef>
              <c:f>GRAFICI!$AC$37:$AC$52</c:f>
              <c:numCache>
                <c:formatCode>0.00</c:formatCode>
                <c:ptCount val="16"/>
                <c:pt idx="0">
                  <c:v>20.165186169583205</c:v>
                </c:pt>
                <c:pt idx="1">
                  <c:v>19.347534012762122</c:v>
                </c:pt>
                <c:pt idx="2">
                  <c:v>18.53219390095347</c:v>
                </c:pt>
                <c:pt idx="3">
                  <c:v>17.719156041475127</c:v>
                </c:pt>
                <c:pt idx="4">
                  <c:v>16.908410696869648</c:v>
                </c:pt>
                <c:pt idx="5">
                  <c:v>16.099948184515501</c:v>
                </c:pt>
                <c:pt idx="6">
                  <c:v>15.293758876241601</c:v>
                </c:pt>
                <c:pt idx="7">
                  <c:v>14.489833197945098</c:v>
                </c:pt>
                <c:pt idx="8">
                  <c:v>13.688161629212383</c:v>
                </c:pt>
                <c:pt idx="9">
                  <c:v>12.888734702943259</c:v>
                </c:pt>
                <c:pt idx="10">
                  <c:v>12.091543004978277</c:v>
                </c:pt>
                <c:pt idx="11">
                  <c:v>11.296577173729194</c:v>
                </c:pt>
                <c:pt idx="12">
                  <c:v>10.503827899812523</c:v>
                </c:pt>
                <c:pt idx="13">
                  <c:v>9.7132859256861259</c:v>
                </c:pt>
                <c:pt idx="14">
                  <c:v>8.9249420452888746</c:v>
                </c:pt>
                <c:pt idx="15">
                  <c:v>8.1387871036832777</c:v>
                </c:pt>
              </c:numCache>
            </c:numRef>
          </c:yVal>
          <c:smooth val="1"/>
        </c:ser>
        <c:ser>
          <c:idx val="28"/>
          <c:order val="20"/>
          <c:tx>
            <c:strRef>
              <c:f>GRAFICI!$AF$19</c:f>
              <c:strCache>
                <c:ptCount val="1"/>
                <c:pt idx="0">
                  <c:v>105,3</c:v>
                </c:pt>
              </c:strCache>
            </c:strRef>
          </c:tx>
          <c:spPr>
            <a:ln w="12700">
              <a:solidFill>
                <a:srgbClr val="00FFFF"/>
              </a:solidFill>
              <a:prstDash val="solid"/>
            </a:ln>
          </c:spPr>
          <c:marker>
            <c:symbol val="none"/>
          </c:marker>
          <c:xVal>
            <c:numRef>
              <c:f>GRAFICI!$A$40:$A$52</c:f>
              <c:numCache>
                <c:formatCode>General</c:formatCode>
                <c:ptCount val="13"/>
                <c:pt idx="0">
                  <c:v>31</c:v>
                </c:pt>
                <c:pt idx="1">
                  <c:v>33</c:v>
                </c:pt>
                <c:pt idx="2">
                  <c:v>35</c:v>
                </c:pt>
                <c:pt idx="3">
                  <c:v>37</c:v>
                </c:pt>
                <c:pt idx="4">
                  <c:v>39</c:v>
                </c:pt>
                <c:pt idx="5">
                  <c:v>41</c:v>
                </c:pt>
                <c:pt idx="6">
                  <c:v>43</c:v>
                </c:pt>
                <c:pt idx="7">
                  <c:v>45</c:v>
                </c:pt>
                <c:pt idx="8">
                  <c:v>47</c:v>
                </c:pt>
                <c:pt idx="9">
                  <c:v>49</c:v>
                </c:pt>
                <c:pt idx="10">
                  <c:v>51</c:v>
                </c:pt>
                <c:pt idx="11">
                  <c:v>53</c:v>
                </c:pt>
                <c:pt idx="12">
                  <c:v>55</c:v>
                </c:pt>
              </c:numCache>
            </c:numRef>
          </c:xVal>
          <c:yVal>
            <c:numRef>
              <c:f>GRAFICI!$AF$40:$AF$52</c:f>
              <c:numCache>
                <c:formatCode>0.00</c:formatCode>
                <c:ptCount val="13"/>
                <c:pt idx="0">
                  <c:v>29.000515375781969</c:v>
                </c:pt>
                <c:pt idx="1">
                  <c:v>28.173865062079102</c:v>
                </c:pt>
                <c:pt idx="2">
                  <c:v>27.3495423645744</c:v>
                </c:pt>
                <c:pt idx="3">
                  <c:v>26.527537466214099</c:v>
                </c:pt>
                <c:pt idx="4">
                  <c:v>25.707840605073343</c:v>
                </c:pt>
                <c:pt idx="5">
                  <c:v>24.890442073969787</c:v>
                </c:pt>
                <c:pt idx="6">
                  <c:v>24.075332220080387</c:v>
                </c:pt>
                <c:pt idx="7">
                  <c:v>23.262501444561408</c:v>
                </c:pt>
                <c:pt idx="8">
                  <c:v>22.45194020217167</c:v>
                </c:pt>
                <c:pt idx="9">
                  <c:v>21.643639000898872</c:v>
                </c:pt>
                <c:pt idx="10">
                  <c:v>20.837588401589084</c:v>
                </c:pt>
                <c:pt idx="11">
                  <c:v>20.03377901757931</c:v>
                </c:pt>
                <c:pt idx="12">
                  <c:v>19.232201514333131</c:v>
                </c:pt>
              </c:numCache>
            </c:numRef>
          </c:yVal>
          <c:smooth val="1"/>
        </c:ser>
        <c:ser>
          <c:idx val="29"/>
          <c:order val="21"/>
          <c:tx>
            <c:strRef>
              <c:f>GRAFICI!$AG$19</c:f>
              <c:strCache>
                <c:ptCount val="1"/>
                <c:pt idx="0">
                  <c:v>116,8</c:v>
                </c:pt>
              </c:strCache>
            </c:strRef>
          </c:tx>
          <c:spPr>
            <a:ln w="12700">
              <a:solidFill>
                <a:srgbClr val="00FFFF"/>
              </a:solidFill>
              <a:prstDash val="solid"/>
            </a:ln>
          </c:spPr>
          <c:marker>
            <c:symbol val="none"/>
          </c:marker>
          <c:xVal>
            <c:numRef>
              <c:f>GRAFICI!$A$41:$A$52</c:f>
              <c:numCache>
                <c:formatCode>General</c:formatCode>
                <c:ptCount val="12"/>
                <c:pt idx="0">
                  <c:v>33</c:v>
                </c:pt>
                <c:pt idx="1">
                  <c:v>35</c:v>
                </c:pt>
                <c:pt idx="2">
                  <c:v>37</c:v>
                </c:pt>
                <c:pt idx="3">
                  <c:v>39</c:v>
                </c:pt>
                <c:pt idx="4">
                  <c:v>41</c:v>
                </c:pt>
                <c:pt idx="5">
                  <c:v>43</c:v>
                </c:pt>
                <c:pt idx="6">
                  <c:v>45</c:v>
                </c:pt>
                <c:pt idx="7">
                  <c:v>47</c:v>
                </c:pt>
                <c:pt idx="8">
                  <c:v>49</c:v>
                </c:pt>
                <c:pt idx="9">
                  <c:v>51</c:v>
                </c:pt>
                <c:pt idx="10">
                  <c:v>53</c:v>
                </c:pt>
                <c:pt idx="11">
                  <c:v>55</c:v>
                </c:pt>
              </c:numCache>
            </c:numRef>
          </c:xVal>
          <c:yVal>
            <c:numRef>
              <c:f>GRAFICI!$AG$41:$AG$52</c:f>
              <c:numCache>
                <c:formatCode>0.00</c:formatCode>
                <c:ptCount val="12"/>
                <c:pt idx="0">
                  <c:v>32.655740201575</c:v>
                </c:pt>
                <c:pt idx="1">
                  <c:v>31.825107650314774</c:v>
                </c:pt>
                <c:pt idx="2">
                  <c:v>30.996810640005254</c:v>
                </c:pt>
                <c:pt idx="3">
                  <c:v>30.170839333998039</c:v>
                </c:pt>
                <c:pt idx="4">
                  <c:v>29.347183950806265</c:v>
                </c:pt>
                <c:pt idx="5">
                  <c:v>28.525834763718468</c:v>
                </c:pt>
                <c:pt idx="6">
                  <c:v>27.706782100415683</c:v>
                </c:pt>
                <c:pt idx="7">
                  <c:v>26.890016342591807</c:v>
                </c:pt>
                <c:pt idx="8">
                  <c:v>26.075527925577063</c:v>
                </c:pt>
                <c:pt idx="9">
                  <c:v>25.263307337964644</c:v>
                </c:pt>
                <c:pt idx="10">
                  <c:v>24.453345121240478</c:v>
                </c:pt>
                <c:pt idx="11">
                  <c:v>23.645631869416082</c:v>
                </c:pt>
              </c:numCache>
            </c:numRef>
          </c:yVal>
          <c:smooth val="1"/>
        </c:ser>
        <c:ser>
          <c:idx val="30"/>
          <c:order val="22"/>
          <c:tx>
            <c:strRef>
              <c:f>GRAFICI!$AH$19</c:f>
              <c:strCache>
                <c:ptCount val="1"/>
                <c:pt idx="0">
                  <c:v>129,4</c:v>
                </c:pt>
              </c:strCache>
            </c:strRef>
          </c:tx>
          <c:spPr>
            <a:ln w="12700">
              <a:solidFill>
                <a:srgbClr val="00FFFF"/>
              </a:solidFill>
              <a:prstDash val="solid"/>
            </a:ln>
          </c:spPr>
          <c:marker>
            <c:symbol val="none"/>
          </c:marker>
          <c:xVal>
            <c:numRef>
              <c:f>GRAFICI!$A$42:$A$52</c:f>
              <c:numCache>
                <c:formatCode>General</c:formatCode>
                <c:ptCount val="11"/>
                <c:pt idx="0">
                  <c:v>35</c:v>
                </c:pt>
                <c:pt idx="1">
                  <c:v>37</c:v>
                </c:pt>
                <c:pt idx="2">
                  <c:v>39</c:v>
                </c:pt>
                <c:pt idx="3">
                  <c:v>41</c:v>
                </c:pt>
                <c:pt idx="4">
                  <c:v>43</c:v>
                </c:pt>
                <c:pt idx="5">
                  <c:v>45</c:v>
                </c:pt>
                <c:pt idx="6">
                  <c:v>47</c:v>
                </c:pt>
                <c:pt idx="7">
                  <c:v>49</c:v>
                </c:pt>
                <c:pt idx="8">
                  <c:v>51</c:v>
                </c:pt>
                <c:pt idx="9">
                  <c:v>53</c:v>
                </c:pt>
                <c:pt idx="10">
                  <c:v>55</c:v>
                </c:pt>
              </c:numCache>
            </c:numRef>
          </c:xVal>
          <c:yVal>
            <c:numRef>
              <c:f>GRAFICI!$AH$42:$AH$52</c:f>
              <c:numCache>
                <c:formatCode>0.00</c:formatCode>
                <c:ptCount val="11"/>
                <c:pt idx="0">
                  <c:v>36.732739506946068</c:v>
                </c:pt>
                <c:pt idx="1">
                  <c:v>35.897542950528738</c:v>
                </c:pt>
                <c:pt idx="2">
                  <c:v>35.064691471058879</c:v>
                </c:pt>
                <c:pt idx="3">
                  <c:v>34.234175205571809</c:v>
                </c:pt>
                <c:pt idx="4">
                  <c:v>33.405984346334542</c:v>
                </c:pt>
                <c:pt idx="5">
                  <c:v>32.580109140459655</c:v>
                </c:pt>
                <c:pt idx="6">
                  <c:v>31.756539889522507</c:v>
                </c:pt>
                <c:pt idx="7">
                  <c:v>30.93526694918156</c:v>
                </c:pt>
                <c:pt idx="8">
                  <c:v>30.116280728801918</c:v>
                </c:pt>
                <c:pt idx="9">
                  <c:v>29.299571691082004</c:v>
                </c:pt>
                <c:pt idx="10">
                  <c:v>28.48513035168336</c:v>
                </c:pt>
              </c:numCache>
            </c:numRef>
          </c:yVal>
          <c:smooth val="1"/>
        </c:ser>
        <c:ser>
          <c:idx val="31"/>
          <c:order val="23"/>
          <c:tx>
            <c:strRef>
              <c:f>GRAFICI!$AI$19</c:f>
              <c:strCache>
                <c:ptCount val="1"/>
                <c:pt idx="0">
                  <c:v>143,2</c:v>
                </c:pt>
              </c:strCache>
            </c:strRef>
          </c:tx>
          <c:spPr>
            <a:ln w="12700">
              <a:solidFill>
                <a:srgbClr val="00FFFF"/>
              </a:solidFill>
              <a:prstDash val="solid"/>
            </a:ln>
          </c:spPr>
          <c:marker>
            <c:symbol val="none"/>
          </c:marker>
          <c:xVal>
            <c:numRef>
              <c:f>GRAFICI!$A$43:$A$52</c:f>
              <c:numCache>
                <c:formatCode>General</c:formatCode>
                <c:ptCount val="10"/>
                <c:pt idx="0">
                  <c:v>37</c:v>
                </c:pt>
                <c:pt idx="1">
                  <c:v>39</c:v>
                </c:pt>
                <c:pt idx="2">
                  <c:v>41</c:v>
                </c:pt>
                <c:pt idx="3">
                  <c:v>43</c:v>
                </c:pt>
                <c:pt idx="4">
                  <c:v>45</c:v>
                </c:pt>
                <c:pt idx="5">
                  <c:v>47</c:v>
                </c:pt>
                <c:pt idx="6">
                  <c:v>49</c:v>
                </c:pt>
                <c:pt idx="7">
                  <c:v>51</c:v>
                </c:pt>
                <c:pt idx="8">
                  <c:v>53</c:v>
                </c:pt>
                <c:pt idx="9">
                  <c:v>55</c:v>
                </c:pt>
              </c:numCache>
            </c:numRef>
          </c:xVal>
          <c:yVal>
            <c:numRef>
              <c:f>GRAFICI!$AI$43:$AI$52</c:f>
              <c:numCache>
                <c:formatCode>0.00</c:formatCode>
                <c:ptCount val="10"/>
                <c:pt idx="0">
                  <c:v>41.278885840113183</c:v>
                </c:pt>
                <c:pt idx="1">
                  <c:v>40.438479454519836</c:v>
                </c:pt>
                <c:pt idx="2">
                  <c:v>39.600429465944735</c:v>
                </c:pt>
                <c:pt idx="3">
                  <c:v>38.764725977687654</c:v>
                </c:pt>
                <c:pt idx="4">
                  <c:v>37.931359148391422</c:v>
                </c:pt>
                <c:pt idx="5">
                  <c:v>37.100319191655707</c:v>
                </c:pt>
                <c:pt idx="6">
                  <c:v>36.271596375653871</c:v>
                </c:pt>
                <c:pt idx="7">
                  <c:v>35.445181022753104</c:v>
                </c:pt>
                <c:pt idx="8">
                  <c:v>34.621063509137699</c:v>
                </c:pt>
                <c:pt idx="9">
                  <c:v>33.799234264435512</c:v>
                </c:pt>
              </c:numCache>
            </c:numRef>
          </c:yVal>
          <c:smooth val="1"/>
        </c:ser>
        <c:ser>
          <c:idx val="33"/>
          <c:order val="24"/>
          <c:tx>
            <c:strRef>
              <c:f>GRAFICI!$AK$19</c:f>
              <c:strCache>
                <c:ptCount val="1"/>
                <c:pt idx="0">
                  <c:v>175,1</c:v>
                </c:pt>
              </c:strCache>
            </c:strRef>
          </c:tx>
          <c:spPr>
            <a:ln w="12700">
              <a:solidFill>
                <a:srgbClr val="00FFFF"/>
              </a:solidFill>
              <a:prstDash val="solid"/>
            </a:ln>
          </c:spPr>
          <c:marker>
            <c:symbol val="none"/>
          </c:marker>
          <c:xVal>
            <c:numRef>
              <c:f>GRAFICI!$A$45:$A$52</c:f>
              <c:numCache>
                <c:formatCode>General</c:formatCode>
                <c:ptCount val="8"/>
                <c:pt idx="0">
                  <c:v>41</c:v>
                </c:pt>
                <c:pt idx="1">
                  <c:v>43</c:v>
                </c:pt>
                <c:pt idx="2">
                  <c:v>45</c:v>
                </c:pt>
                <c:pt idx="3">
                  <c:v>47</c:v>
                </c:pt>
                <c:pt idx="4">
                  <c:v>49</c:v>
                </c:pt>
                <c:pt idx="5">
                  <c:v>51</c:v>
                </c:pt>
                <c:pt idx="6">
                  <c:v>53</c:v>
                </c:pt>
                <c:pt idx="7">
                  <c:v>55</c:v>
                </c:pt>
              </c:numCache>
            </c:numRef>
          </c:xVal>
          <c:yVal>
            <c:numRef>
              <c:f>GRAFICI!$AK$45:$AK$52</c:f>
              <c:numCache>
                <c:formatCode>0.00</c:formatCode>
                <c:ptCount val="8"/>
                <c:pt idx="0">
                  <c:v>51.998956198188075</c:v>
                </c:pt>
                <c:pt idx="1">
                  <c:v>51.145895065806762</c:v>
                </c:pt>
                <c:pt idx="2">
                  <c:v>50.295219125024076</c:v>
                </c:pt>
                <c:pt idx="3">
                  <c:v>49.446918386175177</c:v>
                </c:pt>
                <c:pt idx="4">
                  <c:v>48.600982915302431</c:v>
                </c:pt>
                <c:pt idx="5">
                  <c:v>47.757402833767628</c:v>
                </c:pt>
                <c:pt idx="6">
                  <c:v>46.916168317867459</c:v>
                </c:pt>
                <c:pt idx="7">
                  <c:v>46.077269598452204</c:v>
                </c:pt>
              </c:numCache>
            </c:numRef>
          </c:yVal>
          <c:smooth val="1"/>
        </c:ser>
        <c:ser>
          <c:idx val="34"/>
          <c:order val="25"/>
          <c:tx>
            <c:strRef>
              <c:f>GRAFICI!$AL$19</c:f>
              <c:strCache>
                <c:ptCount val="1"/>
                <c:pt idx="0">
                  <c:v>193,6</c:v>
                </c:pt>
              </c:strCache>
            </c:strRef>
          </c:tx>
          <c:spPr>
            <a:ln w="12700">
              <a:solidFill>
                <a:srgbClr val="00FFFF"/>
              </a:solidFill>
              <a:prstDash val="solid"/>
            </a:ln>
          </c:spPr>
          <c:marker>
            <c:symbol val="none"/>
          </c:marker>
          <c:xVal>
            <c:numRef>
              <c:f>GRAFICI!$A$46:$A$52</c:f>
              <c:numCache>
                <c:formatCode>General</c:formatCode>
                <c:ptCount val="7"/>
                <c:pt idx="0">
                  <c:v>43</c:v>
                </c:pt>
                <c:pt idx="1">
                  <c:v>45</c:v>
                </c:pt>
                <c:pt idx="2">
                  <c:v>47</c:v>
                </c:pt>
                <c:pt idx="3">
                  <c:v>49</c:v>
                </c:pt>
                <c:pt idx="4">
                  <c:v>51</c:v>
                </c:pt>
                <c:pt idx="5">
                  <c:v>53</c:v>
                </c:pt>
                <c:pt idx="6">
                  <c:v>55</c:v>
                </c:pt>
              </c:numCache>
            </c:numRef>
          </c:xVal>
          <c:yVal>
            <c:numRef>
              <c:f>GRAFICI!$AL$46:$AL$52</c:f>
              <c:numCache>
                <c:formatCode>0.00</c:formatCode>
                <c:ptCount val="7"/>
                <c:pt idx="0">
                  <c:v>58.301625172209242</c:v>
                </c:pt>
                <c:pt idx="1">
                  <c:v>57.440945383704488</c:v>
                </c:pt>
                <c:pt idx="2">
                  <c:v>56.582668729225304</c:v>
                </c:pt>
                <c:pt idx="3">
                  <c:v>55.726785157991898</c:v>
                </c:pt>
                <c:pt idx="4">
                  <c:v>54.873284675194455</c:v>
                </c:pt>
                <c:pt idx="5">
                  <c:v>54.022157341604078</c:v>
                </c:pt>
                <c:pt idx="6">
                  <c:v>53.173393273187003</c:v>
                </c:pt>
              </c:numCache>
            </c:numRef>
          </c:yVal>
          <c:smooth val="1"/>
        </c:ser>
        <c:ser>
          <c:idx val="35"/>
          <c:order val="26"/>
          <c:tx>
            <c:strRef>
              <c:f>GRAFICI!$AM$19</c:f>
              <c:strCache>
                <c:ptCount val="1"/>
                <c:pt idx="0">
                  <c:v>214,0</c:v>
                </c:pt>
              </c:strCache>
            </c:strRef>
          </c:tx>
          <c:spPr>
            <a:ln w="12700">
              <a:solidFill>
                <a:srgbClr val="00FFFF"/>
              </a:solidFill>
              <a:prstDash val="solid"/>
            </a:ln>
          </c:spPr>
          <c:marker>
            <c:symbol val="none"/>
          </c:marker>
          <c:xVal>
            <c:numRef>
              <c:f>GRAFICI!$A$47:$A$52</c:f>
              <c:numCache>
                <c:formatCode>General</c:formatCode>
                <c:ptCount val="6"/>
                <c:pt idx="0">
                  <c:v>45</c:v>
                </c:pt>
                <c:pt idx="1">
                  <c:v>47</c:v>
                </c:pt>
                <c:pt idx="2">
                  <c:v>49</c:v>
                </c:pt>
                <c:pt idx="3">
                  <c:v>51</c:v>
                </c:pt>
                <c:pt idx="4">
                  <c:v>53</c:v>
                </c:pt>
                <c:pt idx="5">
                  <c:v>55</c:v>
                </c:pt>
              </c:numCache>
            </c:numRef>
          </c:xVal>
          <c:yVal>
            <c:numRef>
              <c:f>GRAFICI!$AM$47:$AM$52</c:f>
              <c:numCache>
                <c:formatCode>0.00</c:formatCode>
                <c:ptCount val="6"/>
                <c:pt idx="0">
                  <c:v>65.333575034614967</c:v>
                </c:pt>
                <c:pt idx="1">
                  <c:v>64.464279737012845</c:v>
                </c:pt>
                <c:pt idx="2">
                  <c:v>63.597408245303008</c:v>
                </c:pt>
                <c:pt idx="3">
                  <c:v>62.732950436361229</c:v>
                </c:pt>
                <c:pt idx="4">
                  <c:v>61.870896243357791</c:v>
                </c:pt>
                <c:pt idx="5">
                  <c:v>61.011235655366704</c:v>
                </c:pt>
              </c:numCache>
            </c:numRef>
          </c:yVal>
          <c:smooth val="1"/>
        </c:ser>
        <c:ser>
          <c:idx val="37"/>
          <c:order val="27"/>
          <c:tx>
            <c:strRef>
              <c:f>GRAFICI!$AO$19</c:f>
              <c:strCache>
                <c:ptCount val="1"/>
                <c:pt idx="0">
                  <c:v>261,5</c:v>
                </c:pt>
              </c:strCache>
            </c:strRef>
          </c:tx>
          <c:spPr>
            <a:ln w="12700">
              <a:solidFill>
                <a:srgbClr val="00FFFF"/>
              </a:solidFill>
              <a:prstDash val="solid"/>
            </a:ln>
          </c:spPr>
          <c:marker>
            <c:symbol val="none"/>
          </c:marker>
          <c:xVal>
            <c:numRef>
              <c:f>GRAFICI!$A$49:$A$52</c:f>
              <c:numCache>
                <c:formatCode>General</c:formatCode>
                <c:ptCount val="4"/>
                <c:pt idx="0">
                  <c:v>49</c:v>
                </c:pt>
                <c:pt idx="1">
                  <c:v>51</c:v>
                </c:pt>
                <c:pt idx="2">
                  <c:v>53</c:v>
                </c:pt>
                <c:pt idx="3">
                  <c:v>55</c:v>
                </c:pt>
              </c:numCache>
            </c:numRef>
          </c:xVal>
          <c:yVal>
            <c:numRef>
              <c:f>GRAFICI!$AO$49:$AO$52</c:f>
              <c:numCache>
                <c:formatCode>0.00</c:formatCode>
                <c:ptCount val="4"/>
                <c:pt idx="0">
                  <c:v>81.956623875884858</c:v>
                </c:pt>
                <c:pt idx="1">
                  <c:v>81.06660672924049</c:v>
                </c:pt>
                <c:pt idx="2">
                  <c:v>80.179064266006847</c:v>
                </c:pt>
                <c:pt idx="3">
                  <c:v>79.293986179265914</c:v>
                </c:pt>
              </c:numCache>
            </c:numRef>
          </c:yVal>
          <c:smooth val="1"/>
        </c:ser>
        <c:ser>
          <c:idx val="38"/>
          <c:order val="28"/>
          <c:tx>
            <c:strRef>
              <c:f>GRAFICI!$AP$19</c:f>
              <c:strCache>
                <c:ptCount val="1"/>
                <c:pt idx="0">
                  <c:v>289,3</c:v>
                </c:pt>
              </c:strCache>
            </c:strRef>
          </c:tx>
          <c:spPr>
            <a:ln w="12700">
              <a:solidFill>
                <a:srgbClr val="00FFFF"/>
              </a:solidFill>
              <a:prstDash val="solid"/>
            </a:ln>
          </c:spPr>
          <c:marker>
            <c:symbol val="none"/>
          </c:marker>
          <c:xVal>
            <c:numRef>
              <c:f>GRAFICI!$A$50:$A$52</c:f>
              <c:numCache>
                <c:formatCode>General</c:formatCode>
                <c:ptCount val="3"/>
                <c:pt idx="0">
                  <c:v>51</c:v>
                </c:pt>
                <c:pt idx="1">
                  <c:v>53</c:v>
                </c:pt>
                <c:pt idx="2">
                  <c:v>55</c:v>
                </c:pt>
              </c:numCache>
            </c:numRef>
          </c:xVal>
          <c:yVal>
            <c:numRef>
              <c:f>GRAFICI!$AP$50:$AP$52</c:f>
              <c:numCache>
                <c:formatCode>0.00</c:formatCode>
                <c:ptCount val="3"/>
                <c:pt idx="0">
                  <c:v>91.770120753356537</c:v>
                </c:pt>
                <c:pt idx="1">
                  <c:v>90.867697785465168</c:v>
                </c:pt>
                <c:pt idx="2">
                  <c:v>89.967780511713144</c:v>
                </c:pt>
              </c:numCache>
            </c:numRef>
          </c:yVal>
          <c:smooth val="1"/>
        </c:ser>
        <c:ser>
          <c:idx val="0"/>
          <c:order val="29"/>
          <c:tx>
            <c:strRef>
              <c:f>GRAFICI!$D$21</c:f>
              <c:strCache>
                <c:ptCount val="1"/>
                <c:pt idx="0">
                  <c:v>10%</c:v>
                </c:pt>
              </c:strCache>
            </c:strRef>
          </c:tx>
          <c:spPr>
            <a:ln w="12700">
              <a:solidFill>
                <a:srgbClr val="000080"/>
              </a:solidFill>
              <a:prstDash val="solid"/>
            </a:ln>
          </c:spPr>
          <c:marker>
            <c:symbol val="none"/>
          </c:marker>
          <c:xVal>
            <c:numRef>
              <c:f>GRAFICI!$A$22:$A$52</c:f>
              <c:numCache>
                <c:formatCode>General</c:formatCode>
                <c:ptCount val="31"/>
                <c:pt idx="0">
                  <c:v>-5</c:v>
                </c:pt>
                <c:pt idx="1">
                  <c:v>-3</c:v>
                </c:pt>
                <c:pt idx="2">
                  <c:v>-1</c:v>
                </c:pt>
                <c:pt idx="3">
                  <c:v>1</c:v>
                </c:pt>
                <c:pt idx="4">
                  <c:v>3</c:v>
                </c:pt>
                <c:pt idx="5">
                  <c:v>5</c:v>
                </c:pt>
                <c:pt idx="6">
                  <c:v>7</c:v>
                </c:pt>
                <c:pt idx="7">
                  <c:v>9</c:v>
                </c:pt>
                <c:pt idx="8">
                  <c:v>11</c:v>
                </c:pt>
                <c:pt idx="9">
                  <c:v>13</c:v>
                </c:pt>
                <c:pt idx="10">
                  <c:v>15</c:v>
                </c:pt>
                <c:pt idx="11">
                  <c:v>17</c:v>
                </c:pt>
                <c:pt idx="12">
                  <c:v>19</c:v>
                </c:pt>
                <c:pt idx="13">
                  <c:v>21</c:v>
                </c:pt>
                <c:pt idx="14">
                  <c:v>23</c:v>
                </c:pt>
                <c:pt idx="15">
                  <c:v>25</c:v>
                </c:pt>
                <c:pt idx="16">
                  <c:v>27</c:v>
                </c:pt>
                <c:pt idx="17">
                  <c:v>29</c:v>
                </c:pt>
                <c:pt idx="18">
                  <c:v>31</c:v>
                </c:pt>
                <c:pt idx="19">
                  <c:v>33</c:v>
                </c:pt>
                <c:pt idx="20">
                  <c:v>35</c:v>
                </c:pt>
                <c:pt idx="21">
                  <c:v>37</c:v>
                </c:pt>
                <c:pt idx="22">
                  <c:v>39</c:v>
                </c:pt>
                <c:pt idx="23">
                  <c:v>41</c:v>
                </c:pt>
                <c:pt idx="24">
                  <c:v>43</c:v>
                </c:pt>
                <c:pt idx="25">
                  <c:v>45</c:v>
                </c:pt>
                <c:pt idx="26">
                  <c:v>47</c:v>
                </c:pt>
                <c:pt idx="27">
                  <c:v>49</c:v>
                </c:pt>
                <c:pt idx="28">
                  <c:v>51</c:v>
                </c:pt>
                <c:pt idx="29">
                  <c:v>53</c:v>
                </c:pt>
                <c:pt idx="30">
                  <c:v>55</c:v>
                </c:pt>
              </c:numCache>
            </c:numRef>
          </c:xVal>
          <c:yVal>
            <c:numRef>
              <c:f>GRAFICI!$D$22:$D$52</c:f>
              <c:numCache>
                <c:formatCode>0.00</c:formatCode>
                <c:ptCount val="31"/>
                <c:pt idx="0">
                  <c:v>0.24787014345179789</c:v>
                </c:pt>
                <c:pt idx="1">
                  <c:v>0.29372592832713451</c:v>
                </c:pt>
                <c:pt idx="2">
                  <c:v>0.34719472337942703</c:v>
                </c:pt>
                <c:pt idx="3">
                  <c:v>0.40521838795080961</c:v>
                </c:pt>
                <c:pt idx="4">
                  <c:v>0.46752725176795235</c:v>
                </c:pt>
                <c:pt idx="5">
                  <c:v>0.53818046850577861</c:v>
                </c:pt>
                <c:pt idx="6">
                  <c:v>0.61812333457138979</c:v>
                </c:pt>
                <c:pt idx="7">
                  <c:v>0.70838763450124986</c:v>
                </c:pt>
                <c:pt idx="8">
                  <c:v>0.8100975362149252</c:v>
                </c:pt>
                <c:pt idx="9">
                  <c:v>0.92447574677527589</c:v>
                </c:pt>
                <c:pt idx="10">
                  <c:v>1.0528499381107626</c:v>
                </c:pt>
                <c:pt idx="11">
                  <c:v>1.1966594539781827</c:v>
                </c:pt>
                <c:pt idx="12">
                  <c:v>1.3574623116254656</c:v>
                </c:pt>
                <c:pt idx="13">
                  <c:v>1.5369425141909434</c:v>
                </c:pt>
                <c:pt idx="14">
                  <c:v>1.7369176928893924</c:v>
                </c:pt>
                <c:pt idx="15">
                  <c:v>1.9593471015303741</c:v>
                </c:pt>
                <c:pt idx="16">
                  <c:v>2.2063399899422871</c:v>
                </c:pt>
                <c:pt idx="17">
                  <c:v>2.4801643874872696</c:v>
                </c:pt>
                <c:pt idx="18">
                  <c:v>2.7832563331105242</c:v>
                </c:pt>
                <c:pt idx="19">
                  <c:v>3.1182295943407707</c:v>
                </c:pt>
                <c:pt idx="20">
                  <c:v>3.4878859244196692</c:v>
                </c:pt>
                <c:pt idx="21">
                  <c:v>3.895225914380394</c:v>
                </c:pt>
                <c:pt idx="22">
                  <c:v>4.3434605055118389</c:v>
                </c:pt>
                <c:pt idx="23">
                  <c:v>4.8360232373571854</c:v>
                </c:pt>
                <c:pt idx="24">
                  <c:v>5.3765833173321393</c:v>
                </c:pt>
                <c:pt idx="25">
                  <c:v>5.9690596103683431</c:v>
                </c:pt>
                <c:pt idx="26">
                  <c:v>6.6176356608694151</c:v>
                </c:pt>
                <c:pt idx="27">
                  <c:v>7.3267758749288987</c:v>
                </c:pt>
                <c:pt idx="28">
                  <c:v>8.1012430084465521</c:v>
                </c:pt>
                <c:pt idx="29">
                  <c:v>8.9461171267941744</c:v>
                </c:pt>
                <c:pt idx="30">
                  <c:v>9.8668162243707087</c:v>
                </c:pt>
              </c:numCache>
            </c:numRef>
          </c:yVal>
          <c:smooth val="1"/>
        </c:ser>
        <c:ser>
          <c:idx val="12"/>
          <c:order val="30"/>
          <c:spPr>
            <a:ln w="12700">
              <a:solidFill>
                <a:srgbClr val="00FFFF"/>
              </a:solidFill>
              <a:prstDash val="solid"/>
            </a:ln>
          </c:spPr>
          <c:marker>
            <c:symbol val="none"/>
          </c:marker>
          <c:xVal>
            <c:numRef>
              <c:f>GRAFICI!$A$48:$A$52</c:f>
              <c:numCache>
                <c:formatCode>General</c:formatCode>
                <c:ptCount val="5"/>
                <c:pt idx="0">
                  <c:v>47</c:v>
                </c:pt>
                <c:pt idx="1">
                  <c:v>49</c:v>
                </c:pt>
                <c:pt idx="2">
                  <c:v>51</c:v>
                </c:pt>
                <c:pt idx="3">
                  <c:v>53</c:v>
                </c:pt>
                <c:pt idx="4">
                  <c:v>55</c:v>
                </c:pt>
              </c:numCache>
            </c:numRef>
          </c:xVal>
          <c:yVal>
            <c:numRef>
              <c:f>GRAFICI!$AN$48:$AN$52</c:f>
              <c:numCache>
                <c:formatCode>0.00</c:formatCode>
                <c:ptCount val="5"/>
                <c:pt idx="0">
                  <c:v>73.184233627933509</c:v>
                </c:pt>
                <c:pt idx="1">
                  <c:v>72.305205464216257</c:v>
                </c:pt>
                <c:pt idx="2">
                  <c:v>71.42862483182482</c:v>
                </c:pt>
                <c:pt idx="3">
                  <c:v>70.554481522756106</c:v>
                </c:pt>
                <c:pt idx="4">
                  <c:v>69.682765385694779</c:v>
                </c:pt>
              </c:numCache>
            </c:numRef>
          </c:yVal>
          <c:smooth val="1"/>
        </c:ser>
        <c:ser>
          <c:idx val="13"/>
          <c:order val="31"/>
          <c:spPr>
            <a:ln w="12700">
              <a:solidFill>
                <a:srgbClr val="00FFFF"/>
              </a:solidFill>
              <a:prstDash val="solid"/>
            </a:ln>
          </c:spPr>
          <c:marker>
            <c:symbol val="none"/>
          </c:marker>
          <c:xVal>
            <c:numRef>
              <c:f>GRAFICI!$A$44:$A$52</c:f>
              <c:numCache>
                <c:formatCode>General</c:formatCode>
                <c:ptCount val="9"/>
                <c:pt idx="0">
                  <c:v>39</c:v>
                </c:pt>
                <c:pt idx="1">
                  <c:v>41</c:v>
                </c:pt>
                <c:pt idx="2">
                  <c:v>43</c:v>
                </c:pt>
                <c:pt idx="3">
                  <c:v>45</c:v>
                </c:pt>
                <c:pt idx="4">
                  <c:v>47</c:v>
                </c:pt>
                <c:pt idx="5">
                  <c:v>49</c:v>
                </c:pt>
                <c:pt idx="6">
                  <c:v>51</c:v>
                </c:pt>
                <c:pt idx="7">
                  <c:v>53</c:v>
                </c:pt>
                <c:pt idx="8">
                  <c:v>55</c:v>
                </c:pt>
              </c:numCache>
            </c:numRef>
          </c:xVal>
          <c:yVal>
            <c:numRef>
              <c:f>GRAFICI!$AJ$44:$AJ$52</c:f>
              <c:numCache>
                <c:formatCode>0.00</c:formatCode>
                <c:ptCount val="9"/>
                <c:pt idx="0">
                  <c:v>46.347524746047704</c:v>
                </c:pt>
                <c:pt idx="1">
                  <c:v>45.501190636275787</c:v>
                </c:pt>
                <c:pt idx="2">
                  <c:v>44.657226221969296</c:v>
                </c:pt>
                <c:pt idx="3">
                  <c:v>43.815621564489284</c:v>
                </c:pt>
                <c:pt idx="4">
                  <c:v>42.976366780696885</c:v>
                </c:pt>
                <c:pt idx="5">
                  <c:v>42.13945204256639</c:v>
                </c:pt>
                <c:pt idx="6">
                  <c:v>41.304867576801627</c:v>
                </c:pt>
                <c:pt idx="7">
                  <c:v>40.472603664455498</c:v>
                </c:pt>
                <c:pt idx="8">
                  <c:v>39.642650640552766</c:v>
                </c:pt>
              </c:numCache>
            </c:numRef>
          </c:yVal>
          <c:smooth val="1"/>
        </c:ser>
        <c:ser>
          <c:idx val="15"/>
          <c:order val="32"/>
          <c:spPr>
            <a:ln w="12700">
              <a:solidFill>
                <a:srgbClr val="00FFFF"/>
              </a:solidFill>
              <a:prstDash val="solid"/>
            </a:ln>
          </c:spPr>
          <c:marker>
            <c:symbol val="none"/>
          </c:marker>
          <c:xVal>
            <c:numRef>
              <c:f>GRAFICI!$A$38:$A$52</c:f>
              <c:numCache>
                <c:formatCode>General</c:formatCode>
                <c:ptCount val="15"/>
                <c:pt idx="0">
                  <c:v>27</c:v>
                </c:pt>
                <c:pt idx="1">
                  <c:v>29</c:v>
                </c:pt>
                <c:pt idx="2">
                  <c:v>31</c:v>
                </c:pt>
                <c:pt idx="3">
                  <c:v>33</c:v>
                </c:pt>
                <c:pt idx="4">
                  <c:v>35</c:v>
                </c:pt>
                <c:pt idx="5">
                  <c:v>37</c:v>
                </c:pt>
                <c:pt idx="6">
                  <c:v>39</c:v>
                </c:pt>
                <c:pt idx="7">
                  <c:v>41</c:v>
                </c:pt>
                <c:pt idx="8">
                  <c:v>43</c:v>
                </c:pt>
                <c:pt idx="9">
                  <c:v>45</c:v>
                </c:pt>
                <c:pt idx="10">
                  <c:v>47</c:v>
                </c:pt>
                <c:pt idx="11">
                  <c:v>49</c:v>
                </c:pt>
                <c:pt idx="12">
                  <c:v>51</c:v>
                </c:pt>
                <c:pt idx="13">
                  <c:v>53</c:v>
                </c:pt>
                <c:pt idx="14">
                  <c:v>55</c:v>
                </c:pt>
              </c:numCache>
            </c:numRef>
          </c:xVal>
          <c:yVal>
            <c:numRef>
              <c:f>GRAFICI!$AD$38:$AD$52</c:f>
              <c:numCache>
                <c:formatCode>0.00</c:formatCode>
                <c:ptCount val="15"/>
                <c:pt idx="0">
                  <c:v>22.791015846996302</c:v>
                </c:pt>
                <c:pt idx="1">
                  <c:v>21.970807231549646</c:v>
                </c:pt>
                <c:pt idx="2">
                  <c:v>21.152914615486438</c:v>
                </c:pt>
                <c:pt idx="3">
                  <c:v>20.33732820320559</c:v>
                </c:pt>
                <c:pt idx="4">
                  <c:v>19.524038254269353</c:v>
                </c:pt>
                <c:pt idx="5">
                  <c:v>18.713035083015566</c:v>
                </c:pt>
                <c:pt idx="6">
                  <c:v>17.904309058173141</c:v>
                </c:pt>
                <c:pt idx="7">
                  <c:v>17.097850602480818</c:v>
                </c:pt>
                <c:pt idx="8">
                  <c:v>16.293650192309098</c:v>
                </c:pt>
                <c:pt idx="9">
                  <c:v>15.491698357285335</c:v>
                </c:pt>
                <c:pt idx="10">
                  <c:v>14.691985679922004</c:v>
                </c:pt>
                <c:pt idx="11">
                  <c:v>13.894502795248062</c:v>
                </c:pt>
                <c:pt idx="12">
                  <c:v>13.099240390443367</c:v>
                </c:pt>
                <c:pt idx="13">
                  <c:v>12.306189204476174</c:v>
                </c:pt>
                <c:pt idx="14">
                  <c:v>11.515340027743651</c:v>
                </c:pt>
              </c:numCache>
            </c:numRef>
          </c:yVal>
          <c:smooth val="1"/>
        </c:ser>
        <c:ser>
          <c:idx val="21"/>
          <c:order val="33"/>
          <c:spPr>
            <a:ln w="12700">
              <a:solidFill>
                <a:srgbClr val="00FFFF"/>
              </a:solidFill>
              <a:prstDash val="solid"/>
            </a:ln>
          </c:spPr>
          <c:marker>
            <c:symbol val="none"/>
          </c:marker>
          <c:xVal>
            <c:numRef>
              <c:f>GRAFICI!$A$39:$A$52</c:f>
              <c:numCache>
                <c:formatCode>General</c:formatCode>
                <c:ptCount val="14"/>
                <c:pt idx="0">
                  <c:v>29</c:v>
                </c:pt>
                <c:pt idx="1">
                  <c:v>31</c:v>
                </c:pt>
                <c:pt idx="2">
                  <c:v>33</c:v>
                </c:pt>
                <c:pt idx="3">
                  <c:v>35</c:v>
                </c:pt>
                <c:pt idx="4">
                  <c:v>37</c:v>
                </c:pt>
                <c:pt idx="5">
                  <c:v>39</c:v>
                </c:pt>
                <c:pt idx="6">
                  <c:v>41</c:v>
                </c:pt>
                <c:pt idx="7">
                  <c:v>43</c:v>
                </c:pt>
                <c:pt idx="8">
                  <c:v>45</c:v>
                </c:pt>
                <c:pt idx="9">
                  <c:v>47</c:v>
                </c:pt>
                <c:pt idx="10">
                  <c:v>49</c:v>
                </c:pt>
                <c:pt idx="11">
                  <c:v>51</c:v>
                </c:pt>
                <c:pt idx="12">
                  <c:v>53</c:v>
                </c:pt>
                <c:pt idx="13">
                  <c:v>55</c:v>
                </c:pt>
              </c:numCache>
            </c:numRef>
          </c:xVal>
          <c:yVal>
            <c:numRef>
              <c:f>GRAFICI!$AE$39:$AE$52</c:f>
              <c:numCache>
                <c:formatCode>0.00</c:formatCode>
                <c:ptCount val="14"/>
                <c:pt idx="0">
                  <c:v>25.724851610724027</c:v>
                </c:pt>
                <c:pt idx="1">
                  <c:v>24.901658901304145</c:v>
                </c:pt>
                <c:pt idx="2">
                  <c:v>24.080787340287841</c:v>
                </c:pt>
                <c:pt idx="3">
                  <c:v>23.262227124117558</c:v>
                </c:pt>
                <c:pt idx="4">
                  <c:v>22.44596850436627</c:v>
                </c:pt>
                <c:pt idx="5">
                  <c:v>21.6320017873505</c:v>
                </c:pt>
                <c:pt idx="6">
                  <c:v>20.820317333746587</c:v>
                </c:pt>
                <c:pt idx="7">
                  <c:v>20.010905558210176</c:v>
                </c:pt>
                <c:pt idx="8">
                  <c:v>19.203756928998882</c:v>
                </c:pt>
                <c:pt idx="9">
                  <c:v>18.398861967598137</c:v>
                </c:pt>
                <c:pt idx="10">
                  <c:v>17.596211248350183</c:v>
                </c:pt>
                <c:pt idx="11">
                  <c:v>16.795795398086096</c:v>
                </c:pt>
                <c:pt idx="12">
                  <c:v>15.997605095760964</c:v>
                </c:pt>
                <c:pt idx="13">
                  <c:v>15.201631072092043</c:v>
                </c:pt>
              </c:numCache>
            </c:numRef>
          </c:yVal>
          <c:smooth val="1"/>
        </c:ser>
        <c:ser>
          <c:idx val="26"/>
          <c:order val="34"/>
          <c:spPr>
            <a:ln w="12700">
              <a:solidFill>
                <a:srgbClr val="00FFFF"/>
              </a:solidFill>
              <a:prstDash val="solid"/>
            </a:ln>
          </c:spPr>
          <c:marker>
            <c:symbol val="none"/>
          </c:marker>
          <c:xVal>
            <c:numRef>
              <c:f>GRAFICI!$A$33:$A$52</c:f>
              <c:numCache>
                <c:formatCode>General</c:formatCode>
                <c:ptCount val="20"/>
                <c:pt idx="0">
                  <c:v>17</c:v>
                </c:pt>
                <c:pt idx="1">
                  <c:v>19</c:v>
                </c:pt>
                <c:pt idx="2">
                  <c:v>21</c:v>
                </c:pt>
                <c:pt idx="3">
                  <c:v>23</c:v>
                </c:pt>
                <c:pt idx="4">
                  <c:v>25</c:v>
                </c:pt>
                <c:pt idx="5">
                  <c:v>27</c:v>
                </c:pt>
                <c:pt idx="6">
                  <c:v>29</c:v>
                </c:pt>
                <c:pt idx="7">
                  <c:v>31</c:v>
                </c:pt>
                <c:pt idx="8">
                  <c:v>33</c:v>
                </c:pt>
                <c:pt idx="9">
                  <c:v>35</c:v>
                </c:pt>
                <c:pt idx="10">
                  <c:v>37</c:v>
                </c:pt>
                <c:pt idx="11">
                  <c:v>39</c:v>
                </c:pt>
                <c:pt idx="12">
                  <c:v>41</c:v>
                </c:pt>
                <c:pt idx="13">
                  <c:v>43</c:v>
                </c:pt>
                <c:pt idx="14">
                  <c:v>45</c:v>
                </c:pt>
                <c:pt idx="15">
                  <c:v>47</c:v>
                </c:pt>
                <c:pt idx="16">
                  <c:v>49</c:v>
                </c:pt>
                <c:pt idx="17">
                  <c:v>51</c:v>
                </c:pt>
                <c:pt idx="18">
                  <c:v>53</c:v>
                </c:pt>
                <c:pt idx="19">
                  <c:v>55</c:v>
                </c:pt>
              </c:numCache>
            </c:numRef>
          </c:xVal>
          <c:yVal>
            <c:numRef>
              <c:f>GRAFICI!$Y$33:$Y$52</c:f>
              <c:numCache>
                <c:formatCode>0.00</c:formatCode>
                <c:ptCount val="20"/>
                <c:pt idx="0">
                  <c:v>12.177454036033209</c:v>
                </c:pt>
                <c:pt idx="1">
                  <c:v>11.366518579184959</c:v>
                </c:pt>
                <c:pt idx="2">
                  <c:v>10.557889216498738</c:v>
                </c:pt>
                <c:pt idx="3">
                  <c:v>9.7515561250237397</c:v>
                </c:pt>
                <c:pt idx="4">
                  <c:v>8.9475095375186751</c:v>
                </c:pt>
                <c:pt idx="5">
                  <c:v>8.1457397420574029</c:v>
                </c:pt>
                <c:pt idx="6">
                  <c:v>7.3462370816379048</c:v>
                </c:pt>
                <c:pt idx="7">
                  <c:v>6.5489919537945465</c:v>
                </c:pt>
                <c:pt idx="8">
                  <c:v>5.7539948102136567</c:v>
                </c:pt>
                <c:pt idx="9">
                  <c:v>4.9612361563523288</c:v>
                </c:pt>
                <c:pt idx="10">
                  <c:v>4.1707065510604409</c:v>
                </c:pt>
                <c:pt idx="11">
                  <c:v>3.3823966062058655</c:v>
                </c:pt>
                <c:pt idx="12">
                  <c:v>2.5962969863028347</c:v>
                </c:pt>
                <c:pt idx="13">
                  <c:v>1.8123984081434148</c:v>
                </c:pt>
                <c:pt idx="14">
                  <c:v>1.0306916404320809</c:v>
                </c:pt>
                <c:pt idx="15">
                  <c:v>0.25116750342335448</c:v>
                </c:pt>
                <c:pt idx="16">
                  <c:v>-0.52618313143753337</c:v>
                </c:pt>
                <c:pt idx="17">
                  <c:v>-1.301369341870984</c:v>
                </c:pt>
                <c:pt idx="18">
                  <c:v>-2.074400155116376</c:v>
                </c:pt>
                <c:pt idx="19">
                  <c:v>-2.8452845482824953</c:v>
                </c:pt>
              </c:numCache>
            </c:numRef>
          </c:yVal>
          <c:smooth val="1"/>
        </c:ser>
        <c:ser>
          <c:idx val="27"/>
          <c:order val="35"/>
          <c:spPr>
            <a:ln w="12700">
              <a:solidFill>
                <a:srgbClr val="00FFFF"/>
              </a:solidFill>
              <a:prstDash val="solid"/>
            </a:ln>
          </c:spPr>
          <c:marker>
            <c:symbol val="none"/>
          </c:marker>
          <c:xVal>
            <c:numRef>
              <c:f>GRAFICI!$A$23:$A$52</c:f>
              <c:numCache>
                <c:formatCode>General</c:formatCode>
                <c:ptCount val="30"/>
                <c:pt idx="0">
                  <c:v>-3</c:v>
                </c:pt>
                <c:pt idx="1">
                  <c:v>-1</c:v>
                </c:pt>
                <c:pt idx="2">
                  <c:v>1</c:v>
                </c:pt>
                <c:pt idx="3">
                  <c:v>3</c:v>
                </c:pt>
                <c:pt idx="4">
                  <c:v>5</c:v>
                </c:pt>
                <c:pt idx="5">
                  <c:v>7</c:v>
                </c:pt>
                <c:pt idx="6">
                  <c:v>9</c:v>
                </c:pt>
                <c:pt idx="7">
                  <c:v>11</c:v>
                </c:pt>
                <c:pt idx="8">
                  <c:v>13</c:v>
                </c:pt>
                <c:pt idx="9">
                  <c:v>15</c:v>
                </c:pt>
                <c:pt idx="10">
                  <c:v>17</c:v>
                </c:pt>
                <c:pt idx="11">
                  <c:v>19</c:v>
                </c:pt>
                <c:pt idx="12">
                  <c:v>21</c:v>
                </c:pt>
                <c:pt idx="13">
                  <c:v>23</c:v>
                </c:pt>
                <c:pt idx="14">
                  <c:v>25</c:v>
                </c:pt>
                <c:pt idx="15">
                  <c:v>27</c:v>
                </c:pt>
                <c:pt idx="16">
                  <c:v>29</c:v>
                </c:pt>
                <c:pt idx="17">
                  <c:v>31</c:v>
                </c:pt>
                <c:pt idx="18">
                  <c:v>33</c:v>
                </c:pt>
                <c:pt idx="19">
                  <c:v>35</c:v>
                </c:pt>
                <c:pt idx="20">
                  <c:v>37</c:v>
                </c:pt>
                <c:pt idx="21">
                  <c:v>39</c:v>
                </c:pt>
                <c:pt idx="22">
                  <c:v>41</c:v>
                </c:pt>
                <c:pt idx="23">
                  <c:v>43</c:v>
                </c:pt>
                <c:pt idx="24">
                  <c:v>45</c:v>
                </c:pt>
                <c:pt idx="25">
                  <c:v>47</c:v>
                </c:pt>
                <c:pt idx="26">
                  <c:v>49</c:v>
                </c:pt>
                <c:pt idx="27">
                  <c:v>51</c:v>
                </c:pt>
                <c:pt idx="28">
                  <c:v>53</c:v>
                </c:pt>
                <c:pt idx="29">
                  <c:v>55</c:v>
                </c:pt>
              </c:numCache>
            </c:numRef>
          </c:xVal>
          <c:yVal>
            <c:numRef>
              <c:f>GRAFICI!$O$23:$O$52</c:f>
              <c:numCache>
                <c:formatCode>0.00</c:formatCode>
                <c:ptCount val="30"/>
                <c:pt idx="0">
                  <c:v>2.9497964796187661</c:v>
                </c:pt>
                <c:pt idx="1">
                  <c:v>2.1404763724276816</c:v>
                </c:pt>
                <c:pt idx="2">
                  <c:v>1.3334909621761979</c:v>
                </c:pt>
                <c:pt idx="3">
                  <c:v>0.52883016084303647</c:v>
                </c:pt>
                <c:pt idx="4">
                  <c:v>-0.27351606155739527</c:v>
                </c:pt>
                <c:pt idx="5">
                  <c:v>-1.0735576773917457</c:v>
                </c:pt>
                <c:pt idx="6">
                  <c:v>-1.8713046018208801</c:v>
                </c:pt>
                <c:pt idx="7">
                  <c:v>-2.6667666932094871</c:v>
                </c:pt>
                <c:pt idx="8">
                  <c:v>-3.4599537535321749</c:v>
                </c:pt>
                <c:pt idx="9">
                  <c:v>-4.2508755287760858</c:v>
                </c:pt>
                <c:pt idx="10">
                  <c:v>-5.0395417093400647</c:v>
                </c:pt>
                <c:pt idx="11">
                  <c:v>-5.8259619304304238</c:v>
                </c:pt>
                <c:pt idx="12">
                  <c:v>-6.6101457724533228</c:v>
                </c:pt>
                <c:pt idx="13">
                  <c:v>-7.3921027614038088</c:v>
                </c:pt>
                <c:pt idx="14">
                  <c:v>-8.1718423692515483</c:v>
                </c:pt>
                <c:pt idx="15">
                  <c:v>-8.9493740143232916</c:v>
                </c:pt>
                <c:pt idx="16">
                  <c:v>-9.7247070616820697</c:v>
                </c:pt>
                <c:pt idx="17">
                  <c:v>-10.497850823503191</c:v>
                </c:pt>
                <c:pt idx="18">
                  <c:v>-11.268814559447076</c:v>
                </c:pt>
                <c:pt idx="19">
                  <c:v>-12.037607477028908</c:v>
                </c:pt>
                <c:pt idx="20">
                  <c:v>-12.804238731985192</c:v>
                </c:pt>
                <c:pt idx="21">
                  <c:v>-13.568717428637218</c:v>
                </c:pt>
                <c:pt idx="22">
                  <c:v>-14.331052620251457</c:v>
                </c:pt>
                <c:pt idx="23">
                  <c:v>-15.091253309396947</c:v>
                </c:pt>
                <c:pt idx="24">
                  <c:v>-15.849328448299666</c:v>
                </c:pt>
                <c:pt idx="25">
                  <c:v>-16.605286939193956</c:v>
                </c:pt>
                <c:pt idx="26">
                  <c:v>-17.359137634670979</c:v>
                </c:pt>
                <c:pt idx="27">
                  <c:v>-18.1108893380243</c:v>
                </c:pt>
                <c:pt idx="28">
                  <c:v>-18.860550803592531</c:v>
                </c:pt>
                <c:pt idx="29">
                  <c:v>-19.608130737099188</c:v>
                </c:pt>
              </c:numCache>
            </c:numRef>
          </c:yVal>
          <c:smooth val="1"/>
        </c:ser>
        <c:ser>
          <c:idx val="32"/>
          <c:order val="36"/>
          <c:spPr>
            <a:ln w="12700">
              <a:solidFill>
                <a:srgbClr val="00FFFF"/>
              </a:solidFill>
              <a:prstDash val="solid"/>
            </a:ln>
          </c:spPr>
          <c:marker>
            <c:symbol val="none"/>
          </c:marker>
          <c:xVal>
            <c:numRef>
              <c:f>GRAFICI!$A$24:$A$52</c:f>
              <c:numCache>
                <c:formatCode>General</c:formatCode>
                <c:ptCount val="29"/>
                <c:pt idx="0">
                  <c:v>-1</c:v>
                </c:pt>
                <c:pt idx="1">
                  <c:v>1</c:v>
                </c:pt>
                <c:pt idx="2">
                  <c:v>3</c:v>
                </c:pt>
                <c:pt idx="3">
                  <c:v>5</c:v>
                </c:pt>
                <c:pt idx="4">
                  <c:v>7</c:v>
                </c:pt>
                <c:pt idx="5">
                  <c:v>9</c:v>
                </c:pt>
                <c:pt idx="6">
                  <c:v>11</c:v>
                </c:pt>
                <c:pt idx="7">
                  <c:v>13</c:v>
                </c:pt>
                <c:pt idx="8">
                  <c:v>15</c:v>
                </c:pt>
                <c:pt idx="9">
                  <c:v>17</c:v>
                </c:pt>
                <c:pt idx="10">
                  <c:v>19</c:v>
                </c:pt>
                <c:pt idx="11">
                  <c:v>21</c:v>
                </c:pt>
                <c:pt idx="12">
                  <c:v>23</c:v>
                </c:pt>
                <c:pt idx="13">
                  <c:v>25</c:v>
                </c:pt>
                <c:pt idx="14">
                  <c:v>27</c:v>
                </c:pt>
                <c:pt idx="15">
                  <c:v>29</c:v>
                </c:pt>
                <c:pt idx="16">
                  <c:v>31</c:v>
                </c:pt>
                <c:pt idx="17">
                  <c:v>33</c:v>
                </c:pt>
                <c:pt idx="18">
                  <c:v>35</c:v>
                </c:pt>
                <c:pt idx="19">
                  <c:v>37</c:v>
                </c:pt>
                <c:pt idx="20">
                  <c:v>39</c:v>
                </c:pt>
                <c:pt idx="21">
                  <c:v>41</c:v>
                </c:pt>
                <c:pt idx="22">
                  <c:v>43</c:v>
                </c:pt>
                <c:pt idx="23">
                  <c:v>45</c:v>
                </c:pt>
                <c:pt idx="24">
                  <c:v>47</c:v>
                </c:pt>
                <c:pt idx="25">
                  <c:v>49</c:v>
                </c:pt>
                <c:pt idx="26">
                  <c:v>51</c:v>
                </c:pt>
                <c:pt idx="27">
                  <c:v>53</c:v>
                </c:pt>
                <c:pt idx="28">
                  <c:v>55</c:v>
                </c:pt>
              </c:numCache>
            </c:numRef>
          </c:xVal>
          <c:yVal>
            <c:numRef>
              <c:f>GRAFICI!$P$24:$P$52</c:f>
              <c:numCache>
                <c:formatCode>0.00</c:formatCode>
                <c:ptCount val="29"/>
                <c:pt idx="0">
                  <c:v>3.4894779501917417</c:v>
                </c:pt>
                <c:pt idx="1">
                  <c:v>2.6805467648216501</c:v>
                </c:pt>
                <c:pt idx="2">
                  <c:v>1.8739457933859516</c:v>
                </c:pt>
                <c:pt idx="3">
                  <c:v>1.0696649817151023</c:v>
                </c:pt>
                <c:pt idx="4">
                  <c:v>0.26769433339743037</c:v>
                </c:pt>
                <c:pt idx="5">
                  <c:v>-0.53197609063501983</c:v>
                </c:pt>
                <c:pt idx="6">
                  <c:v>-1.3293561725170828</c:v>
                </c:pt>
                <c:pt idx="7">
                  <c:v>-2.1244557378575459</c:v>
                </c:pt>
                <c:pt idx="8">
                  <c:v>-2.9172845561427372</c:v>
                </c:pt>
                <c:pt idx="9">
                  <c:v>-3.707852341136654</c:v>
                </c:pt>
                <c:pt idx="10">
                  <c:v>-4.4961687512776827</c:v>
                </c:pt>
                <c:pt idx="11">
                  <c:v>-5.2822433900719208</c:v>
                </c:pt>
                <c:pt idx="12">
                  <c:v>-6.0660858064831684</c:v>
                </c:pt>
                <c:pt idx="13">
                  <c:v>-6.8477054953195742</c:v>
                </c:pt>
                <c:pt idx="14">
                  <c:v>-7.6271118976170271</c:v>
                </c:pt>
                <c:pt idx="15">
                  <c:v>-8.4043144010192723</c:v>
                </c:pt>
                <c:pt idx="16">
                  <c:v>-9.1793223401548136</c:v>
                </c:pt>
                <c:pt idx="17">
                  <c:v>-9.9521449970106399</c:v>
                </c:pt>
                <c:pt idx="18">
                  <c:v>-10.722791601302777</c:v>
                </c:pt>
                <c:pt idx="19">
                  <c:v>-11.491271330843725</c:v>
                </c:pt>
                <c:pt idx="20">
                  <c:v>-12.257593311906788</c:v>
                </c:pt>
                <c:pt idx="21">
                  <c:v>-13.02176661958736</c:v>
                </c:pt>
                <c:pt idx="22">
                  <c:v>-13.783800278161166</c:v>
                </c:pt>
                <c:pt idx="23">
                  <c:v>-14.543703261439477</c:v>
                </c:pt>
                <c:pt idx="24">
                  <c:v>-15.301484493121393</c:v>
                </c:pt>
                <c:pt idx="25">
                  <c:v>-16.057152847143133</c:v>
                </c:pt>
                <c:pt idx="26">
                  <c:v>-16.810717148024455</c:v>
                </c:pt>
                <c:pt idx="27">
                  <c:v>-17.562186171212133</c:v>
                </c:pt>
                <c:pt idx="28">
                  <c:v>-18.311568643420618</c:v>
                </c:pt>
              </c:numCache>
            </c:numRef>
          </c:yVal>
          <c:smooth val="1"/>
        </c:ser>
        <c:ser>
          <c:idx val="36"/>
          <c:order val="37"/>
          <c:spPr>
            <a:ln w="12700">
              <a:solidFill>
                <a:srgbClr val="00FFFF"/>
              </a:solidFill>
              <a:prstDash val="solid"/>
            </a:ln>
          </c:spPr>
          <c:marker>
            <c:symbol val="none"/>
          </c:marker>
          <c:xVal>
            <c:numRef>
              <c:f>GRAFICI!$A$25:$A$52</c:f>
              <c:numCache>
                <c:formatCode>General</c:formatCode>
                <c:ptCount val="28"/>
                <c:pt idx="0">
                  <c:v>1</c:v>
                </c:pt>
                <c:pt idx="1">
                  <c:v>3</c:v>
                </c:pt>
                <c:pt idx="2">
                  <c:v>5</c:v>
                </c:pt>
                <c:pt idx="3">
                  <c:v>7</c:v>
                </c:pt>
                <c:pt idx="4">
                  <c:v>9</c:v>
                </c:pt>
                <c:pt idx="5">
                  <c:v>11</c:v>
                </c:pt>
                <c:pt idx="6">
                  <c:v>13</c:v>
                </c:pt>
                <c:pt idx="7">
                  <c:v>15</c:v>
                </c:pt>
                <c:pt idx="8">
                  <c:v>17</c:v>
                </c:pt>
                <c:pt idx="9">
                  <c:v>19</c:v>
                </c:pt>
                <c:pt idx="10">
                  <c:v>21</c:v>
                </c:pt>
                <c:pt idx="11">
                  <c:v>23</c:v>
                </c:pt>
                <c:pt idx="12">
                  <c:v>25</c:v>
                </c:pt>
                <c:pt idx="13">
                  <c:v>27</c:v>
                </c:pt>
                <c:pt idx="14">
                  <c:v>29</c:v>
                </c:pt>
                <c:pt idx="15">
                  <c:v>31</c:v>
                </c:pt>
                <c:pt idx="16">
                  <c:v>33</c:v>
                </c:pt>
                <c:pt idx="17">
                  <c:v>35</c:v>
                </c:pt>
                <c:pt idx="18">
                  <c:v>37</c:v>
                </c:pt>
                <c:pt idx="19">
                  <c:v>39</c:v>
                </c:pt>
                <c:pt idx="20">
                  <c:v>41</c:v>
                </c:pt>
                <c:pt idx="21">
                  <c:v>43</c:v>
                </c:pt>
                <c:pt idx="22">
                  <c:v>45</c:v>
                </c:pt>
                <c:pt idx="23">
                  <c:v>47</c:v>
                </c:pt>
                <c:pt idx="24">
                  <c:v>49</c:v>
                </c:pt>
                <c:pt idx="25">
                  <c:v>51</c:v>
                </c:pt>
                <c:pt idx="26">
                  <c:v>53</c:v>
                </c:pt>
                <c:pt idx="27">
                  <c:v>55</c:v>
                </c:pt>
              </c:numCache>
            </c:numRef>
          </c:xVal>
          <c:yVal>
            <c:numRef>
              <c:f>GRAFICI!$Q$25:$Q$52</c:f>
              <c:numCache>
                <c:formatCode>0.00</c:formatCode>
                <c:ptCount val="28"/>
                <c:pt idx="0">
                  <c:v>4.0760839041699821</c:v>
                </c:pt>
                <c:pt idx="1">
                  <c:v>3.2674729347598666</c:v>
                </c:pt>
                <c:pt idx="2">
                  <c:v>2.461187906804176</c:v>
                </c:pt>
                <c:pt idx="3">
                  <c:v>1.6572187989808194</c:v>
                </c:pt>
                <c:pt idx="4">
                  <c:v>0.85555564745432078</c:v>
                </c:pt>
                <c:pt idx="5">
                  <c:v>5.6188545464198124E-2</c:v>
                </c:pt>
                <c:pt idx="6">
                  <c:v>-0.74089235708312351</c:v>
                </c:pt>
                <c:pt idx="7">
                  <c:v>-1.5356968540189069</c:v>
                </c:pt>
                <c:pt idx="8">
                  <c:v>-2.3282346833132279</c:v>
                </c:pt>
                <c:pt idx="9">
                  <c:v>-3.1185155274726801</c:v>
                </c:pt>
                <c:pt idx="10">
                  <c:v>-3.9065490139346877</c:v>
                </c:pt>
                <c:pt idx="11">
                  <c:v>-4.6923447154584537</c:v>
                </c:pt>
                <c:pt idx="12">
                  <c:v>-5.4759121505125821</c:v>
                </c:pt>
                <c:pt idx="13">
                  <c:v>-6.2572607836594178</c:v>
                </c:pt>
                <c:pt idx="14">
                  <c:v>-7.036400025936115</c:v>
                </c:pt>
                <c:pt idx="15">
                  <c:v>-7.8133392352324726</c:v>
                </c:pt>
                <c:pt idx="16">
                  <c:v>-8.5880877166655978</c:v>
                </c:pt>
                <c:pt idx="17">
                  <c:v>-9.3606547229513772</c:v>
                </c:pt>
                <c:pt idx="18">
                  <c:v>-10.13104945477283</c:v>
                </c:pt>
                <c:pt idx="19">
                  <c:v>-10.899281061145352</c:v>
                </c:pt>
                <c:pt idx="20">
                  <c:v>-11.665358639778894</c:v>
                </c:pt>
                <c:pt idx="21">
                  <c:v>-12.429291237437097</c:v>
                </c:pt>
                <c:pt idx="22">
                  <c:v>-13.191087850293393</c:v>
                </c:pt>
                <c:pt idx="23">
                  <c:v>-13.950757424284168</c:v>
                </c:pt>
                <c:pt idx="24">
                  <c:v>-14.708308855458926</c:v>
                </c:pt>
                <c:pt idx="25">
                  <c:v>-15.463750990327565</c:v>
                </c:pt>
                <c:pt idx="26">
                  <c:v>-16.217092626204703</c:v>
                </c:pt>
                <c:pt idx="27">
                  <c:v>-16.968342511551217</c:v>
                </c:pt>
              </c:numCache>
            </c:numRef>
          </c:yVal>
          <c:smooth val="1"/>
        </c:ser>
        <c:ser>
          <c:idx val="39"/>
          <c:order val="38"/>
          <c:spPr>
            <a:ln w="12700">
              <a:solidFill>
                <a:srgbClr val="00FFFF"/>
              </a:solidFill>
              <a:prstDash val="solid"/>
            </a:ln>
          </c:spPr>
          <c:marker>
            <c:symbol val="none"/>
          </c:marker>
          <c:xVal>
            <c:numRef>
              <c:f>GRAFICI!$A$27:$A$52</c:f>
              <c:numCache>
                <c:formatCode>General</c:formatCode>
                <c:ptCount val="26"/>
                <c:pt idx="0">
                  <c:v>5</c:v>
                </c:pt>
                <c:pt idx="1">
                  <c:v>7</c:v>
                </c:pt>
                <c:pt idx="2">
                  <c:v>9</c:v>
                </c:pt>
                <c:pt idx="3">
                  <c:v>11</c:v>
                </c:pt>
                <c:pt idx="4">
                  <c:v>13</c:v>
                </c:pt>
                <c:pt idx="5">
                  <c:v>15</c:v>
                </c:pt>
                <c:pt idx="6">
                  <c:v>17</c:v>
                </c:pt>
                <c:pt idx="7">
                  <c:v>19</c:v>
                </c:pt>
                <c:pt idx="8">
                  <c:v>21</c:v>
                </c:pt>
                <c:pt idx="9">
                  <c:v>23</c:v>
                </c:pt>
                <c:pt idx="10">
                  <c:v>25</c:v>
                </c:pt>
                <c:pt idx="11">
                  <c:v>27</c:v>
                </c:pt>
                <c:pt idx="12">
                  <c:v>29</c:v>
                </c:pt>
                <c:pt idx="13">
                  <c:v>31</c:v>
                </c:pt>
                <c:pt idx="14">
                  <c:v>33</c:v>
                </c:pt>
                <c:pt idx="15">
                  <c:v>35</c:v>
                </c:pt>
                <c:pt idx="16">
                  <c:v>37</c:v>
                </c:pt>
                <c:pt idx="17">
                  <c:v>39</c:v>
                </c:pt>
                <c:pt idx="18">
                  <c:v>41</c:v>
                </c:pt>
                <c:pt idx="19">
                  <c:v>43</c:v>
                </c:pt>
                <c:pt idx="20">
                  <c:v>45</c:v>
                </c:pt>
                <c:pt idx="21">
                  <c:v>47</c:v>
                </c:pt>
                <c:pt idx="22">
                  <c:v>49</c:v>
                </c:pt>
                <c:pt idx="23">
                  <c:v>51</c:v>
                </c:pt>
                <c:pt idx="24">
                  <c:v>53</c:v>
                </c:pt>
                <c:pt idx="25">
                  <c:v>55</c:v>
                </c:pt>
              </c:numCache>
            </c:numRef>
          </c:xVal>
          <c:yVal>
            <c:numRef>
              <c:f>GRAFICI!$S$27:$S$52</c:f>
              <c:numCache>
                <c:formatCode>0.00</c:formatCode>
                <c:ptCount val="26"/>
                <c:pt idx="0">
                  <c:v>5.424044035263333</c:v>
                </c:pt>
                <c:pt idx="1">
                  <c:v>4.6158197708147153</c:v>
                </c:pt>
                <c:pt idx="2">
                  <c:v>3.8099136673672405</c:v>
                </c:pt>
                <c:pt idx="3">
                  <c:v>3.0063157657270443</c:v>
                </c:pt>
                <c:pt idx="4">
                  <c:v>2.2050161636670937</c:v>
                </c:pt>
                <c:pt idx="5">
                  <c:v>1.4060050155204451</c:v>
                </c:pt>
                <c:pt idx="6">
                  <c:v>0.60927253177699781</c:v>
                </c:pt>
                <c:pt idx="7">
                  <c:v>-0.18519102131631698</c:v>
                </c:pt>
                <c:pt idx="8">
                  <c:v>-0.97739532215193237</c:v>
                </c:pt>
                <c:pt idx="9">
                  <c:v>-1.7673499941546671</c:v>
                </c:pt>
                <c:pt idx="10">
                  <c:v>-2.5550646061713973</c:v>
                </c:pt>
                <c:pt idx="11">
                  <c:v>-3.3405486728574338</c:v>
                </c:pt>
                <c:pt idx="12">
                  <c:v>-4.1238116550595993</c:v>
                </c:pt>
                <c:pt idx="13">
                  <c:v>-4.9048629601960734</c:v>
                </c:pt>
                <c:pt idx="14">
                  <c:v>-5.6837119426330327</c:v>
                </c:pt>
                <c:pt idx="15">
                  <c:v>-6.4603679040580895</c:v>
                </c:pt>
                <c:pt idx="16">
                  <c:v>-7.2348400938505968</c:v>
                </c:pt>
                <c:pt idx="17">
                  <c:v>-8.0071377094488216</c:v>
                </c:pt>
                <c:pt idx="18">
                  <c:v>-8.7772698967140457</c:v>
                </c:pt>
                <c:pt idx="19">
                  <c:v>-9.5452457502915919</c:v>
                </c:pt>
                <c:pt idx="20">
                  <c:v>-10.311074313968827</c:v>
                </c:pt>
                <c:pt idx="21">
                  <c:v>-11.074764581030172</c:v>
                </c:pt>
                <c:pt idx="22">
                  <c:v>-11.836325494609133</c:v>
                </c:pt>
                <c:pt idx="23">
                  <c:v>-12.595765948037412</c:v>
                </c:pt>
                <c:pt idx="24">
                  <c:v>-13.353094785191061</c:v>
                </c:pt>
                <c:pt idx="25">
                  <c:v>-14.108320800833816</c:v>
                </c:pt>
              </c:numCache>
            </c:numRef>
          </c:yVal>
          <c:smooth val="1"/>
        </c:ser>
        <c:ser>
          <c:idx val="11"/>
          <c:order val="39"/>
          <c:tx>
            <c:strRef>
              <c:f>GRAFICI!$C$60</c:f>
              <c:strCache>
                <c:ptCount val="1"/>
                <c:pt idx="0">
                  <c:v>Isoterma</c:v>
                </c:pt>
              </c:strCache>
            </c:strRef>
          </c:tx>
          <c:spPr>
            <a:ln w="25400">
              <a:solidFill>
                <a:srgbClr val="FF0000"/>
              </a:solidFill>
              <a:prstDash val="solid"/>
            </a:ln>
          </c:spPr>
          <c:marker>
            <c:symbol val="none"/>
          </c:marker>
          <c:xVal>
            <c:numRef>
              <c:f>GRAFICI!$C$62:$C$102</c:f>
              <c:numCache>
                <c:formatCode>General</c:formatCode>
                <c:ptCount val="41"/>
                <c:pt idx="0">
                  <c:v>19.001116320862707</c:v>
                </c:pt>
                <c:pt idx="1">
                  <c:v>19.0237337978322</c:v>
                </c:pt>
                <c:pt idx="2">
                  <c:v>19.046351274801694</c:v>
                </c:pt>
                <c:pt idx="3">
                  <c:v>19.068968751771187</c:v>
                </c:pt>
                <c:pt idx="4">
                  <c:v>19.091586228740681</c:v>
                </c:pt>
                <c:pt idx="5">
                  <c:v>19.114203705710175</c:v>
                </c:pt>
                <c:pt idx="6">
                  <c:v>19.136821182679668</c:v>
                </c:pt>
                <c:pt idx="7">
                  <c:v>19.159438659649162</c:v>
                </c:pt>
                <c:pt idx="8">
                  <c:v>19.182056136618655</c:v>
                </c:pt>
                <c:pt idx="9">
                  <c:v>19.204673613588149</c:v>
                </c:pt>
                <c:pt idx="10">
                  <c:v>19.227291090557642</c:v>
                </c:pt>
                <c:pt idx="11">
                  <c:v>19.249908567527136</c:v>
                </c:pt>
                <c:pt idx="12">
                  <c:v>19.27252604449663</c:v>
                </c:pt>
                <c:pt idx="13">
                  <c:v>19.295143521466123</c:v>
                </c:pt>
                <c:pt idx="14">
                  <c:v>19.317760998435617</c:v>
                </c:pt>
                <c:pt idx="15">
                  <c:v>19.34037847540511</c:v>
                </c:pt>
                <c:pt idx="16">
                  <c:v>19.362995952374604</c:v>
                </c:pt>
                <c:pt idx="17">
                  <c:v>19.385613429344097</c:v>
                </c:pt>
                <c:pt idx="18">
                  <c:v>19.408230906313591</c:v>
                </c:pt>
                <c:pt idx="19">
                  <c:v>19.430848383283085</c:v>
                </c:pt>
                <c:pt idx="20">
                  <c:v>19.453465860252578</c:v>
                </c:pt>
                <c:pt idx="21">
                  <c:v>19.476083337222072</c:v>
                </c:pt>
                <c:pt idx="22">
                  <c:v>19.498700814191565</c:v>
                </c:pt>
                <c:pt idx="23">
                  <c:v>19.521318291161059</c:v>
                </c:pt>
                <c:pt idx="24">
                  <c:v>19.543935768130552</c:v>
                </c:pt>
                <c:pt idx="25">
                  <c:v>19.566553245100046</c:v>
                </c:pt>
                <c:pt idx="26">
                  <c:v>19.589170722069539</c:v>
                </c:pt>
                <c:pt idx="27">
                  <c:v>19.611788199039033</c:v>
                </c:pt>
                <c:pt idx="28">
                  <c:v>19.634405676008527</c:v>
                </c:pt>
                <c:pt idx="29">
                  <c:v>19.65702315297802</c:v>
                </c:pt>
                <c:pt idx="30">
                  <c:v>19.679640629947514</c:v>
                </c:pt>
                <c:pt idx="31">
                  <c:v>19.702258106917007</c:v>
                </c:pt>
                <c:pt idx="32">
                  <c:v>19.724875583886501</c:v>
                </c:pt>
                <c:pt idx="33">
                  <c:v>19.747493060855994</c:v>
                </c:pt>
                <c:pt idx="34">
                  <c:v>19.770110537825488</c:v>
                </c:pt>
                <c:pt idx="35">
                  <c:v>19.792728014794982</c:v>
                </c:pt>
                <c:pt idx="36">
                  <c:v>19.815345491764475</c:v>
                </c:pt>
                <c:pt idx="37">
                  <c:v>19.837962968733969</c:v>
                </c:pt>
                <c:pt idx="38">
                  <c:v>19.860580445703462</c:v>
                </c:pt>
                <c:pt idx="39">
                  <c:v>19.883197922672956</c:v>
                </c:pt>
                <c:pt idx="40">
                  <c:v>19.905815399642382</c:v>
                </c:pt>
              </c:numCache>
            </c:numRef>
          </c:xVal>
          <c:yVal>
            <c:numRef>
              <c:f>GRAFICI!$D$62:$D$102</c:f>
              <c:numCache>
                <c:formatCode>General</c:formatCode>
                <c:ptCount val="41"/>
                <c:pt idx="0">
                  <c:v>2.2379341661572782</c:v>
                </c:pt>
                <c:pt idx="1">
                  <c:v>2.3632010302405071</c:v>
                </c:pt>
                <c:pt idx="2">
                  <c:v>2.4884678943237359</c:v>
                </c:pt>
                <c:pt idx="3">
                  <c:v>2.6137347584069648</c:v>
                </c:pt>
                <c:pt idx="4">
                  <c:v>2.7390016224901936</c:v>
                </c:pt>
                <c:pt idx="5">
                  <c:v>2.8642684865734225</c:v>
                </c:pt>
                <c:pt idx="6">
                  <c:v>2.9895353506566513</c:v>
                </c:pt>
                <c:pt idx="7">
                  <c:v>3.1148022147398802</c:v>
                </c:pt>
                <c:pt idx="8">
                  <c:v>3.240069078823109</c:v>
                </c:pt>
                <c:pt idx="9">
                  <c:v>3.3653359429063379</c:v>
                </c:pt>
                <c:pt idx="10">
                  <c:v>3.4906028069895667</c:v>
                </c:pt>
                <c:pt idx="11">
                  <c:v>3.6158696710727956</c:v>
                </c:pt>
                <c:pt idx="12">
                  <c:v>3.7411365351560244</c:v>
                </c:pt>
                <c:pt idx="13">
                  <c:v>3.8664033992392532</c:v>
                </c:pt>
                <c:pt idx="14">
                  <c:v>3.9916702633224821</c:v>
                </c:pt>
                <c:pt idx="15">
                  <c:v>4.1169371274057109</c:v>
                </c:pt>
                <c:pt idx="16">
                  <c:v>4.2422039914889398</c:v>
                </c:pt>
                <c:pt idx="17">
                  <c:v>4.3674708555721686</c:v>
                </c:pt>
                <c:pt idx="18">
                  <c:v>4.4927377196553975</c:v>
                </c:pt>
                <c:pt idx="19">
                  <c:v>4.6180045837386263</c:v>
                </c:pt>
                <c:pt idx="20">
                  <c:v>4.7432714478218552</c:v>
                </c:pt>
                <c:pt idx="21">
                  <c:v>4.868538311905084</c:v>
                </c:pt>
                <c:pt idx="22">
                  <c:v>4.9938051759883129</c:v>
                </c:pt>
                <c:pt idx="23">
                  <c:v>5.1190720400715417</c:v>
                </c:pt>
                <c:pt idx="24">
                  <c:v>5.2443389041547706</c:v>
                </c:pt>
                <c:pt idx="25">
                  <c:v>5.3696057682379994</c:v>
                </c:pt>
                <c:pt idx="26">
                  <c:v>5.4948726323212282</c:v>
                </c:pt>
                <c:pt idx="27">
                  <c:v>5.6201394964044571</c:v>
                </c:pt>
                <c:pt idx="28">
                  <c:v>5.7454063604876859</c:v>
                </c:pt>
                <c:pt idx="29">
                  <c:v>5.8706732245709148</c:v>
                </c:pt>
                <c:pt idx="30">
                  <c:v>5.9959400886541436</c:v>
                </c:pt>
                <c:pt idx="31">
                  <c:v>6.1212069527373725</c:v>
                </c:pt>
                <c:pt idx="32">
                  <c:v>6.2464738168206013</c:v>
                </c:pt>
                <c:pt idx="33">
                  <c:v>6.3717406809038302</c:v>
                </c:pt>
                <c:pt idx="34">
                  <c:v>6.497007544987059</c:v>
                </c:pt>
                <c:pt idx="35">
                  <c:v>6.6222744090702879</c:v>
                </c:pt>
                <c:pt idx="36">
                  <c:v>6.7475412731535167</c:v>
                </c:pt>
                <c:pt idx="37">
                  <c:v>6.8728081372367456</c:v>
                </c:pt>
                <c:pt idx="38">
                  <c:v>6.9980750013199744</c:v>
                </c:pt>
                <c:pt idx="39">
                  <c:v>7.1233418654032032</c:v>
                </c:pt>
                <c:pt idx="40">
                  <c:v>7.2486087294864303</c:v>
                </c:pt>
              </c:numCache>
            </c:numRef>
          </c:yVal>
          <c:smooth val="1"/>
        </c:ser>
        <c:ser>
          <c:idx val="40"/>
          <c:order val="40"/>
          <c:tx>
            <c:strRef>
              <c:f>GRAFICI!$H$60</c:f>
              <c:strCache>
                <c:ptCount val="1"/>
                <c:pt idx="0">
                  <c:v>Riscaldamento</c:v>
                </c:pt>
              </c:strCache>
            </c:strRef>
          </c:tx>
          <c:spPr>
            <a:ln w="38100">
              <a:solidFill>
                <a:srgbClr val="FF0000"/>
              </a:solidFill>
              <a:prstDash val="solid"/>
            </a:ln>
          </c:spPr>
          <c:marker>
            <c:symbol val="none"/>
          </c:marker>
          <c:xVal>
            <c:numRef>
              <c:f>GRAFICI!$H$62:$H$102</c:f>
              <c:numCache>
                <c:formatCode>General</c:formatCode>
                <c:ptCount val="41"/>
                <c:pt idx="0">
                  <c:v>-5</c:v>
                </c:pt>
                <c:pt idx="1">
                  <c:v>-4.399972091978432</c:v>
                </c:pt>
                <c:pt idx="2">
                  <c:v>-3.7999441839568644</c:v>
                </c:pt>
                <c:pt idx="3">
                  <c:v>-3.1999162759352968</c:v>
                </c:pt>
                <c:pt idx="4">
                  <c:v>-2.5998883679137292</c:v>
                </c:pt>
                <c:pt idx="5">
                  <c:v>-1.9998604598921617</c:v>
                </c:pt>
                <c:pt idx="6">
                  <c:v>-1.3998325518705941</c:v>
                </c:pt>
                <c:pt idx="7">
                  <c:v>-0.79980464384902639</c:v>
                </c:pt>
                <c:pt idx="8">
                  <c:v>-0.1997767358274587</c:v>
                </c:pt>
                <c:pt idx="9">
                  <c:v>0.400251172194109</c:v>
                </c:pt>
                <c:pt idx="10">
                  <c:v>1.0002790802156767</c:v>
                </c:pt>
                <c:pt idx="11">
                  <c:v>1.6003069882372443</c:v>
                </c:pt>
                <c:pt idx="12">
                  <c:v>2.2003348962588118</c:v>
                </c:pt>
                <c:pt idx="13">
                  <c:v>2.8003628042803794</c:v>
                </c:pt>
                <c:pt idx="14">
                  <c:v>3.400390712301947</c:v>
                </c:pt>
                <c:pt idx="15">
                  <c:v>4.000418620323515</c:v>
                </c:pt>
                <c:pt idx="16">
                  <c:v>4.6004465283450831</c:v>
                </c:pt>
                <c:pt idx="17">
                  <c:v>5.2004744363666511</c:v>
                </c:pt>
                <c:pt idx="18">
                  <c:v>5.8005023443882191</c:v>
                </c:pt>
                <c:pt idx="19">
                  <c:v>6.4005302524097871</c:v>
                </c:pt>
                <c:pt idx="20">
                  <c:v>7.0005581604313551</c:v>
                </c:pt>
                <c:pt idx="21">
                  <c:v>7.6005860684529232</c:v>
                </c:pt>
                <c:pt idx="22">
                  <c:v>8.2006139764744912</c:v>
                </c:pt>
                <c:pt idx="23">
                  <c:v>8.8006418844960592</c:v>
                </c:pt>
                <c:pt idx="24">
                  <c:v>9.4006697925176272</c:v>
                </c:pt>
                <c:pt idx="25">
                  <c:v>10.000697700539195</c:v>
                </c:pt>
                <c:pt idx="26">
                  <c:v>10.600725608560763</c:v>
                </c:pt>
                <c:pt idx="27">
                  <c:v>11.200753516582331</c:v>
                </c:pt>
                <c:pt idx="28">
                  <c:v>11.800781424603899</c:v>
                </c:pt>
                <c:pt idx="29">
                  <c:v>12.400809332625467</c:v>
                </c:pt>
                <c:pt idx="30">
                  <c:v>13.000837240647035</c:v>
                </c:pt>
                <c:pt idx="31">
                  <c:v>13.600865148668603</c:v>
                </c:pt>
                <c:pt idx="32">
                  <c:v>14.200893056690171</c:v>
                </c:pt>
                <c:pt idx="33">
                  <c:v>14.800920964711739</c:v>
                </c:pt>
                <c:pt idx="34">
                  <c:v>15.400948872733307</c:v>
                </c:pt>
                <c:pt idx="35">
                  <c:v>16.000976780754876</c:v>
                </c:pt>
                <c:pt idx="36">
                  <c:v>16.601004688776442</c:v>
                </c:pt>
                <c:pt idx="37">
                  <c:v>17.201032596798008</c:v>
                </c:pt>
                <c:pt idx="38">
                  <c:v>17.801060504819574</c:v>
                </c:pt>
                <c:pt idx="39">
                  <c:v>18.40108841284114</c:v>
                </c:pt>
                <c:pt idx="40">
                  <c:v>19.001116320862707</c:v>
                </c:pt>
              </c:numCache>
            </c:numRef>
          </c:xVal>
          <c:yVal>
            <c:numRef>
              <c:f>GRAFICI!$I$62:$I$102</c:f>
              <c:numCache>
                <c:formatCode>General</c:formatCode>
                <c:ptCount val="41"/>
                <c:pt idx="0">
                  <c:v>2.2379341661572782</c:v>
                </c:pt>
                <c:pt idx="1">
                  <c:v>2.2379341661572782</c:v>
                </c:pt>
                <c:pt idx="2">
                  <c:v>2.2379341661572782</c:v>
                </c:pt>
                <c:pt idx="3">
                  <c:v>2.2379341661572782</c:v>
                </c:pt>
                <c:pt idx="4">
                  <c:v>2.2379341661572782</c:v>
                </c:pt>
                <c:pt idx="5">
                  <c:v>2.2379341661572782</c:v>
                </c:pt>
                <c:pt idx="6">
                  <c:v>2.2379341661572782</c:v>
                </c:pt>
                <c:pt idx="7">
                  <c:v>2.2379341661572782</c:v>
                </c:pt>
                <c:pt idx="8">
                  <c:v>2.2379341661572782</c:v>
                </c:pt>
                <c:pt idx="9">
                  <c:v>2.2379341661572782</c:v>
                </c:pt>
                <c:pt idx="10">
                  <c:v>2.2379341661572782</c:v>
                </c:pt>
                <c:pt idx="11">
                  <c:v>2.2379341661572782</c:v>
                </c:pt>
                <c:pt idx="12">
                  <c:v>2.2379341661572782</c:v>
                </c:pt>
                <c:pt idx="13">
                  <c:v>2.2379341661572782</c:v>
                </c:pt>
                <c:pt idx="14">
                  <c:v>2.2379341661572782</c:v>
                </c:pt>
                <c:pt idx="15">
                  <c:v>2.2379341661572782</c:v>
                </c:pt>
                <c:pt idx="16">
                  <c:v>2.2379341661572782</c:v>
                </c:pt>
                <c:pt idx="17">
                  <c:v>2.2379341661572782</c:v>
                </c:pt>
                <c:pt idx="18">
                  <c:v>2.2379341661572782</c:v>
                </c:pt>
                <c:pt idx="19">
                  <c:v>2.2379341661572782</c:v>
                </c:pt>
                <c:pt idx="20">
                  <c:v>2.2379341661572782</c:v>
                </c:pt>
                <c:pt idx="21">
                  <c:v>2.2379341661572782</c:v>
                </c:pt>
                <c:pt idx="22">
                  <c:v>2.2379341661572782</c:v>
                </c:pt>
                <c:pt idx="23">
                  <c:v>2.2379341661572782</c:v>
                </c:pt>
                <c:pt idx="24">
                  <c:v>2.2379341661572782</c:v>
                </c:pt>
                <c:pt idx="25">
                  <c:v>2.2379341661572782</c:v>
                </c:pt>
                <c:pt idx="26">
                  <c:v>2.2379341661572782</c:v>
                </c:pt>
                <c:pt idx="27">
                  <c:v>2.2379341661572782</c:v>
                </c:pt>
                <c:pt idx="28">
                  <c:v>2.2379341661572782</c:v>
                </c:pt>
                <c:pt idx="29">
                  <c:v>2.2379341661572782</c:v>
                </c:pt>
                <c:pt idx="30">
                  <c:v>2.2379341661572782</c:v>
                </c:pt>
                <c:pt idx="31">
                  <c:v>2.2379341661572782</c:v>
                </c:pt>
                <c:pt idx="32">
                  <c:v>2.2379341661572782</c:v>
                </c:pt>
                <c:pt idx="33">
                  <c:v>2.2379341661572782</c:v>
                </c:pt>
                <c:pt idx="34">
                  <c:v>2.2379341661572782</c:v>
                </c:pt>
                <c:pt idx="35">
                  <c:v>2.2379341661572782</c:v>
                </c:pt>
                <c:pt idx="36">
                  <c:v>2.2379341661572782</c:v>
                </c:pt>
                <c:pt idx="37">
                  <c:v>2.2379341661572782</c:v>
                </c:pt>
                <c:pt idx="38">
                  <c:v>2.2379341661572782</c:v>
                </c:pt>
                <c:pt idx="39">
                  <c:v>2.2379341661572782</c:v>
                </c:pt>
                <c:pt idx="40">
                  <c:v>2.2379341661572782</c:v>
                </c:pt>
              </c:numCache>
            </c:numRef>
          </c:yVal>
          <c:smooth val="1"/>
        </c:ser>
        <c:ser>
          <c:idx val="41"/>
          <c:order val="41"/>
          <c:tx>
            <c:strRef>
              <c:f>GRAFICI!$M$54</c:f>
              <c:strCache>
                <c:ptCount val="1"/>
                <c:pt idx="0">
                  <c:v>External Air</c:v>
                </c:pt>
              </c:strCache>
            </c:strRef>
          </c:tx>
          <c:spPr>
            <a:ln w="12700">
              <a:solidFill>
                <a:srgbClr val="000080"/>
              </a:solidFill>
              <a:prstDash val="solid"/>
            </a:ln>
          </c:spPr>
          <c:marker>
            <c:symbol val="circle"/>
            <c:size val="7"/>
            <c:spPr>
              <a:solidFill>
                <a:srgbClr val="FF0000"/>
              </a:solidFill>
              <a:ln>
                <a:solidFill>
                  <a:srgbClr val="FF0000"/>
                </a:solidFill>
                <a:prstDash val="solid"/>
              </a:ln>
            </c:spPr>
          </c:marker>
          <c:dLbls>
            <c:dLbl>
              <c:idx val="0"/>
              <c:layout>
                <c:manualLayout>
                  <c:x val="-5.4344478916114589E-2"/>
                  <c:y val="-8.6820206020560148E-2"/>
                </c:manualLayout>
              </c:layout>
              <c:dLblPos val="r"/>
              <c:showLegendKey val="0"/>
              <c:showVal val="0"/>
              <c:showCatName val="0"/>
              <c:showSerName val="1"/>
              <c:showPercent val="0"/>
              <c:showBubbleSize val="0"/>
            </c:dLbl>
            <c:spPr>
              <a:noFill/>
              <a:ln w="25400">
                <a:noFill/>
              </a:ln>
            </c:spPr>
            <c:txPr>
              <a:bodyPr/>
              <a:lstStyle/>
              <a:p>
                <a:pPr>
                  <a:defRPr sz="700" b="0" i="0" u="none" strike="noStrike" baseline="0">
                    <a:solidFill>
                      <a:srgbClr val="000000"/>
                    </a:solidFill>
                    <a:latin typeface="Arial"/>
                    <a:ea typeface="Arial"/>
                    <a:cs typeface="Arial"/>
                  </a:defRPr>
                </a:pPr>
                <a:endParaRPr lang="it-IT"/>
              </a:p>
            </c:txPr>
            <c:showLegendKey val="0"/>
            <c:showVal val="0"/>
            <c:showCatName val="0"/>
            <c:showSerName val="1"/>
            <c:showPercent val="0"/>
            <c:showBubbleSize val="0"/>
            <c:showLeaderLines val="0"/>
          </c:dLbls>
          <c:xVal>
            <c:numRef>
              <c:f>GRAFICI!$M$55</c:f>
              <c:numCache>
                <c:formatCode>General</c:formatCode>
                <c:ptCount val="1"/>
                <c:pt idx="0">
                  <c:v>-5</c:v>
                </c:pt>
              </c:numCache>
            </c:numRef>
          </c:xVal>
          <c:yVal>
            <c:numRef>
              <c:f>GRAFICI!$M$56</c:f>
              <c:numCache>
                <c:formatCode>General</c:formatCode>
                <c:ptCount val="1"/>
                <c:pt idx="0">
                  <c:v>2.2379341661572782</c:v>
                </c:pt>
              </c:numCache>
            </c:numRef>
          </c:yVal>
          <c:smooth val="1"/>
        </c:ser>
        <c:ser>
          <c:idx val="42"/>
          <c:order val="42"/>
          <c:tx>
            <c:strRef>
              <c:f>DESIGN!$AA$41</c:f>
              <c:strCache>
                <c:ptCount val="1"/>
                <c:pt idx="0">
                  <c:v>Aria miscelata</c:v>
                </c:pt>
              </c:strCache>
            </c:strRef>
          </c:tx>
          <c:xVal>
            <c:numRef>
              <c:f>DESIGN!$AC$43</c:f>
            </c:numRef>
          </c:xVal>
          <c:yVal>
            <c:numRef>
              <c:f>DESIGN!$AC$45</c:f>
            </c:numRef>
          </c:yVal>
          <c:smooth val="1"/>
        </c:ser>
        <c:dLbls>
          <c:showLegendKey val="0"/>
          <c:showVal val="0"/>
          <c:showCatName val="0"/>
          <c:showSerName val="0"/>
          <c:showPercent val="0"/>
          <c:showBubbleSize val="0"/>
        </c:dLbls>
        <c:axId val="192656512"/>
        <c:axId val="192658432"/>
      </c:scatterChart>
      <c:valAx>
        <c:axId val="192656512"/>
        <c:scaling>
          <c:orientation val="minMax"/>
          <c:max val="55"/>
          <c:min val="-5"/>
        </c:scaling>
        <c:delete val="0"/>
        <c:axPos val="b"/>
        <c:title>
          <c:tx>
            <c:rich>
              <a:bodyPr/>
              <a:lstStyle/>
              <a:p>
                <a:pPr>
                  <a:defRPr sz="1100" b="0" i="0" u="none" strike="noStrike" baseline="0">
                    <a:solidFill>
                      <a:srgbClr val="000000"/>
                    </a:solidFill>
                    <a:latin typeface="Calibri"/>
                    <a:ea typeface="Calibri"/>
                    <a:cs typeface="Calibri"/>
                  </a:defRPr>
                </a:pPr>
                <a:r>
                  <a:rPr lang="it-IT" sz="700" b="1" i="0" u="none" strike="noStrike" baseline="0">
                    <a:solidFill>
                      <a:srgbClr val="000000"/>
                    </a:solidFill>
                    <a:latin typeface="Arial"/>
                    <a:cs typeface="Arial"/>
                  </a:rPr>
                  <a:t>DBT </a:t>
                </a:r>
                <a:r>
                  <a:rPr lang="it-IT" sz="700" b="1" i="0" u="none" strike="noStrike" baseline="0">
                    <a:solidFill>
                      <a:srgbClr val="000000"/>
                    </a:solidFill>
                    <a:latin typeface="Calibri"/>
                    <a:cs typeface="Arial"/>
                  </a:rPr>
                  <a:t>°</a:t>
                </a:r>
                <a:r>
                  <a:rPr lang="it-IT" sz="700" b="1" i="0" u="none" strike="noStrike" baseline="0">
                    <a:solidFill>
                      <a:srgbClr val="000000"/>
                    </a:solidFill>
                    <a:latin typeface="Arial"/>
                    <a:cs typeface="Arial"/>
                  </a:rPr>
                  <a:t>C</a:t>
                </a:r>
              </a:p>
            </c:rich>
          </c:tx>
          <c:layout>
            <c:manualLayout>
              <c:xMode val="edge"/>
              <c:yMode val="edge"/>
              <c:x val="0.8256041858404064"/>
              <c:y val="0.94650529794886751"/>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it-IT"/>
          </a:p>
        </c:txPr>
        <c:crossAx val="192658432"/>
        <c:crossesAt val="0"/>
        <c:crossBetween val="midCat"/>
        <c:majorUnit val="5"/>
      </c:valAx>
      <c:valAx>
        <c:axId val="192658432"/>
        <c:scaling>
          <c:orientation val="minMax"/>
          <c:max val="45"/>
          <c:min val="0"/>
        </c:scaling>
        <c:delete val="0"/>
        <c:axPos val="l"/>
        <c:majorGridlines>
          <c:spPr>
            <a:ln w="3175">
              <a:solidFill>
                <a:srgbClr val="000000"/>
              </a:solidFill>
              <a:prstDash val="solid"/>
            </a:ln>
          </c:spPr>
        </c:majorGridlines>
        <c:title>
          <c:tx>
            <c:rich>
              <a:bodyPr/>
              <a:lstStyle/>
              <a:p>
                <a:pPr>
                  <a:defRPr sz="700" b="1" i="0" u="none" strike="noStrike" baseline="0">
                    <a:solidFill>
                      <a:srgbClr val="000000"/>
                    </a:solidFill>
                    <a:latin typeface="Arial"/>
                    <a:ea typeface="Arial"/>
                    <a:cs typeface="Arial"/>
                  </a:defRPr>
                </a:pPr>
                <a:r>
                  <a:rPr lang="it-IT"/>
                  <a:t>x g/kg</a:t>
                </a:r>
              </a:p>
            </c:rich>
          </c:tx>
          <c:layout>
            <c:manualLayout>
              <c:xMode val="edge"/>
              <c:yMode val="edge"/>
              <c:x val="6.4935064935064939E-3"/>
              <c:y val="0.45061890411846667"/>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it-IT"/>
          </a:p>
        </c:txPr>
        <c:crossAx val="192656512"/>
        <c:crossesAt val="-5"/>
        <c:crossBetween val="midCat"/>
        <c:majorUnit val="5"/>
      </c:valAx>
      <c:spPr>
        <a:pattFill prst="pct70">
          <a:fgClr>
            <a:srgbClr xmlns:mc="http://schemas.openxmlformats.org/markup-compatibility/2006" xmlns:a14="http://schemas.microsoft.com/office/drawing/2010/main" val="FFFFFF" mc:Ignorable="a14" a14:legacySpreadsheetColorIndex="9"/>
          </a:fgClr>
          <a:bgClr>
            <a:srgbClr xmlns:mc="http://schemas.openxmlformats.org/markup-compatibility/2006" xmlns:a14="http://schemas.microsoft.com/office/drawing/2010/main" val="99CC00" mc:Ignorable="a14" a14:legacySpreadsheetColorIndex="50"/>
          </a:bgClr>
        </a:patt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700" b="0" i="0" u="none" strike="noStrike" baseline="0">
          <a:solidFill>
            <a:srgbClr val="000000"/>
          </a:solidFill>
          <a:latin typeface="Arial"/>
          <a:ea typeface="Arial"/>
          <a:cs typeface="Arial"/>
        </a:defRPr>
      </a:pPr>
      <a:endParaRPr lang="it-IT"/>
    </a:p>
  </c:txPr>
  <c:printSettings>
    <c:headerFooter alignWithMargins="0"/>
    <c:pageMargins b="1" l="0.75" r="0.75" t="1" header="0.5" footer="0.5"/>
    <c:pageSetup paperSize="9" orientation="landscape"/>
  </c:printSettings>
</c:chartSpace>
</file>

<file path=xl/drawings/_rels/drawing2.xml.rels><?xml version="1.0" encoding="UTF-8" standalone="yes"?>
<Relationships xmlns="http://schemas.openxmlformats.org/package/2006/relationships"><Relationship Id="rId3" Type="http://schemas.openxmlformats.org/officeDocument/2006/relationships/image" Target="../media/image2.wmf"/><Relationship Id="rId2" Type="http://schemas.openxmlformats.org/officeDocument/2006/relationships/image" Target="../media/image1.jpe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2.wmf"/></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2.w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2</xdr:col>
      <xdr:colOff>76200</xdr:colOff>
      <xdr:row>0</xdr:row>
      <xdr:rowOff>76200</xdr:rowOff>
    </xdr:from>
    <xdr:to>
      <xdr:col>2</xdr:col>
      <xdr:colOff>998220</xdr:colOff>
      <xdr:row>0</xdr:row>
      <xdr:rowOff>601980</xdr:rowOff>
    </xdr:to>
    <xdr:sp macro="" textlink="">
      <xdr:nvSpPr>
        <xdr:cNvPr id="35787" name="AutoShape 5"/>
        <xdr:cNvSpPr>
          <a:spLocks noChangeArrowheads="1"/>
        </xdr:cNvSpPr>
      </xdr:nvSpPr>
      <xdr:spPr bwMode="auto">
        <a:xfrm>
          <a:off x="2049780" y="76200"/>
          <a:ext cx="922020" cy="525780"/>
        </a:xfrm>
        <a:prstGeom prst="leftArrow">
          <a:avLst>
            <a:gd name="adj1" fmla="val 50000"/>
            <a:gd name="adj2" fmla="val 43841"/>
          </a:avLst>
        </a:prstGeom>
        <a:solidFill>
          <a:srgbClr xmlns:mc="http://schemas.openxmlformats.org/markup-compatibility/2006" xmlns:a14="http://schemas.microsoft.com/office/drawing/2010/main" val="FFFFFF" mc:Ignorable="a14" a14:legacySpreadsheetColorIndex="9"/>
        </a:solidFill>
        <a:ln w="2540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53340</xdr:colOff>
      <xdr:row>47</xdr:row>
      <xdr:rowOff>83820</xdr:rowOff>
    </xdr:from>
    <xdr:to>
      <xdr:col>10</xdr:col>
      <xdr:colOff>510540</xdr:colOff>
      <xdr:row>67</xdr:row>
      <xdr:rowOff>83820</xdr:rowOff>
    </xdr:to>
    <xdr:graphicFrame macro="">
      <xdr:nvGraphicFramePr>
        <xdr:cNvPr id="1053355" name="Grafico 99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396240</xdr:colOff>
      <xdr:row>72</xdr:row>
      <xdr:rowOff>114300</xdr:rowOff>
    </xdr:from>
    <xdr:to>
      <xdr:col>10</xdr:col>
      <xdr:colOff>495300</xdr:colOff>
      <xdr:row>80</xdr:row>
      <xdr:rowOff>60960</xdr:rowOff>
    </xdr:to>
    <xdr:grpSp>
      <xdr:nvGrpSpPr>
        <xdr:cNvPr id="1053356" name="Group 10581"/>
        <xdr:cNvGrpSpPr>
          <a:grpSpLocks/>
        </xdr:cNvGrpSpPr>
      </xdr:nvGrpSpPr>
      <xdr:grpSpPr bwMode="auto">
        <a:xfrm>
          <a:off x="5380990" y="12973050"/>
          <a:ext cx="3210560" cy="1248410"/>
          <a:chOff x="671" y="927"/>
          <a:chExt cx="524" cy="225"/>
        </a:xfrm>
      </xdr:grpSpPr>
      <xdr:sp macro="" textlink="">
        <xdr:nvSpPr>
          <xdr:cNvPr id="1053364" name="Rectangle 405"/>
          <xdr:cNvSpPr>
            <a:spLocks noChangeArrowheads="1"/>
          </xdr:cNvSpPr>
        </xdr:nvSpPr>
        <xdr:spPr bwMode="auto">
          <a:xfrm>
            <a:off x="671" y="927"/>
            <a:ext cx="524" cy="225"/>
          </a:xfrm>
          <a:prstGeom prst="rect">
            <a:avLst/>
          </a:prstGeom>
          <a:gradFill rotWithShape="0">
            <a:gsLst>
              <a:gs pos="0">
                <a:srgbClr val="DBDBDB"/>
              </a:gs>
              <a:gs pos="50000">
                <a:srgbClr xmlns:mc="http://schemas.openxmlformats.org/markup-compatibility/2006" xmlns:a14="http://schemas.microsoft.com/office/drawing/2010/main" val="FFFFFF" mc:Ignorable="a14" a14:legacySpreadsheetColorIndex="9"/>
              </a:gs>
              <a:gs pos="100000">
                <a:srgbClr val="DBDBDB"/>
              </a:gs>
            </a:gsLst>
            <a:lin ang="2700000" scaled="1"/>
          </a:gra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nvGrpSpPr>
          <xdr:cNvPr id="1053365" name="Group 10580"/>
          <xdr:cNvGrpSpPr>
            <a:grpSpLocks/>
          </xdr:cNvGrpSpPr>
        </xdr:nvGrpSpPr>
        <xdr:grpSpPr bwMode="auto">
          <a:xfrm>
            <a:off x="671" y="934"/>
            <a:ext cx="481" cy="209"/>
            <a:chOff x="671" y="934"/>
            <a:chExt cx="481" cy="209"/>
          </a:xfrm>
        </xdr:grpSpPr>
        <xdr:sp macro="" textlink="">
          <xdr:nvSpPr>
            <xdr:cNvPr id="1053366" name="Freeform 414"/>
            <xdr:cNvSpPr>
              <a:spLocks/>
            </xdr:cNvSpPr>
          </xdr:nvSpPr>
          <xdr:spPr bwMode="auto">
            <a:xfrm>
              <a:off x="1145" y="973"/>
              <a:ext cx="7" cy="92"/>
            </a:xfrm>
            <a:custGeom>
              <a:avLst/>
              <a:gdLst>
                <a:gd name="T0" fmla="*/ 2 w 9"/>
                <a:gd name="T1" fmla="*/ 0 h 241"/>
                <a:gd name="T2" fmla="*/ 2 w 9"/>
                <a:gd name="T3" fmla="*/ 0 h 241"/>
                <a:gd name="T4" fmla="*/ 2 w 9"/>
                <a:gd name="T5" fmla="*/ 0 h 241"/>
                <a:gd name="T6" fmla="*/ 2 w 9"/>
                <a:gd name="T7" fmla="*/ 0 h 241"/>
                <a:gd name="T8" fmla="*/ 2 w 9"/>
                <a:gd name="T9" fmla="*/ 0 h 241"/>
                <a:gd name="T10" fmla="*/ 2 w 9"/>
                <a:gd name="T11" fmla="*/ 0 h 241"/>
                <a:gd name="T12" fmla="*/ 2 w 9"/>
                <a:gd name="T13" fmla="*/ 0 h 241"/>
                <a:gd name="T14" fmla="*/ 2 w 9"/>
                <a:gd name="T15" fmla="*/ 0 h 241"/>
                <a:gd name="T16" fmla="*/ 0 w 9"/>
                <a:gd name="T17" fmla="*/ 0 h 241"/>
                <a:gd name="T18" fmla="*/ 2 w 9"/>
                <a:gd name="T19" fmla="*/ 0 h 241"/>
                <a:gd name="T20" fmla="*/ 2 w 9"/>
                <a:gd name="T21" fmla="*/ 0 h 241"/>
                <a:gd name="T22" fmla="*/ 2 w 9"/>
                <a:gd name="T23" fmla="*/ 0 h 241"/>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Lst>
              <a:ahLst/>
              <a:cxnLst>
                <a:cxn ang="T24">
                  <a:pos x="T0" y="T1"/>
                </a:cxn>
                <a:cxn ang="T25">
                  <a:pos x="T2" y="T3"/>
                </a:cxn>
                <a:cxn ang="T26">
                  <a:pos x="T4" y="T5"/>
                </a:cxn>
                <a:cxn ang="T27">
                  <a:pos x="T6" y="T7"/>
                </a:cxn>
                <a:cxn ang="T28">
                  <a:pos x="T8" y="T9"/>
                </a:cxn>
                <a:cxn ang="T29">
                  <a:pos x="T10" y="T11"/>
                </a:cxn>
                <a:cxn ang="T30">
                  <a:pos x="T12" y="T13"/>
                </a:cxn>
                <a:cxn ang="T31">
                  <a:pos x="T14" y="T15"/>
                </a:cxn>
                <a:cxn ang="T32">
                  <a:pos x="T16" y="T17"/>
                </a:cxn>
                <a:cxn ang="T33">
                  <a:pos x="T18" y="T19"/>
                </a:cxn>
                <a:cxn ang="T34">
                  <a:pos x="T20" y="T21"/>
                </a:cxn>
                <a:cxn ang="T35">
                  <a:pos x="T22" y="T23"/>
                </a:cxn>
              </a:cxnLst>
              <a:rect l="0" t="0" r="r" b="b"/>
              <a:pathLst>
                <a:path w="9" h="241">
                  <a:moveTo>
                    <a:pt x="6" y="0"/>
                  </a:moveTo>
                  <a:cubicBezTo>
                    <a:pt x="5" y="4"/>
                    <a:pt x="3" y="11"/>
                    <a:pt x="3" y="11"/>
                  </a:cubicBezTo>
                  <a:cubicBezTo>
                    <a:pt x="4" y="21"/>
                    <a:pt x="7" y="29"/>
                    <a:pt x="9" y="39"/>
                  </a:cubicBezTo>
                  <a:cubicBezTo>
                    <a:pt x="9" y="45"/>
                    <a:pt x="9" y="50"/>
                    <a:pt x="8" y="56"/>
                  </a:cubicBezTo>
                  <a:cubicBezTo>
                    <a:pt x="8" y="60"/>
                    <a:pt x="5" y="68"/>
                    <a:pt x="5" y="68"/>
                  </a:cubicBezTo>
                  <a:cubicBezTo>
                    <a:pt x="6" y="79"/>
                    <a:pt x="7" y="87"/>
                    <a:pt x="8" y="98"/>
                  </a:cubicBezTo>
                  <a:cubicBezTo>
                    <a:pt x="7" y="104"/>
                    <a:pt x="8" y="106"/>
                    <a:pt x="6" y="111"/>
                  </a:cubicBezTo>
                  <a:cubicBezTo>
                    <a:pt x="5" y="113"/>
                    <a:pt x="4" y="117"/>
                    <a:pt x="4" y="117"/>
                  </a:cubicBezTo>
                  <a:cubicBezTo>
                    <a:pt x="3" y="167"/>
                    <a:pt x="5" y="145"/>
                    <a:pt x="0" y="167"/>
                  </a:cubicBezTo>
                  <a:cubicBezTo>
                    <a:pt x="1" y="183"/>
                    <a:pt x="2" y="190"/>
                    <a:pt x="4" y="204"/>
                  </a:cubicBezTo>
                  <a:cubicBezTo>
                    <a:pt x="3" y="212"/>
                    <a:pt x="2" y="219"/>
                    <a:pt x="2" y="227"/>
                  </a:cubicBezTo>
                  <a:cubicBezTo>
                    <a:pt x="2" y="232"/>
                    <a:pt x="5" y="239"/>
                    <a:pt x="6" y="241"/>
                  </a:cubicBez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grpSp>
          <xdr:nvGrpSpPr>
            <xdr:cNvPr id="1053367" name="Group 10579"/>
            <xdr:cNvGrpSpPr>
              <a:grpSpLocks/>
            </xdr:cNvGrpSpPr>
          </xdr:nvGrpSpPr>
          <xdr:grpSpPr bwMode="auto">
            <a:xfrm>
              <a:off x="671" y="934"/>
              <a:ext cx="479" cy="209"/>
              <a:chOff x="671" y="934"/>
              <a:chExt cx="479" cy="209"/>
            </a:xfrm>
          </xdr:grpSpPr>
          <xdr:sp macro="" textlink="">
            <xdr:nvSpPr>
              <xdr:cNvPr id="1053368" name="Freeform 415"/>
              <xdr:cNvSpPr>
                <a:spLocks/>
              </xdr:cNvSpPr>
            </xdr:nvSpPr>
            <xdr:spPr bwMode="auto">
              <a:xfrm>
                <a:off x="734" y="1077"/>
                <a:ext cx="48" cy="13"/>
              </a:xfrm>
              <a:custGeom>
                <a:avLst/>
                <a:gdLst>
                  <a:gd name="T0" fmla="*/ 0 w 203"/>
                  <a:gd name="T1" fmla="*/ 0 h 66"/>
                  <a:gd name="T2" fmla="*/ 0 w 203"/>
                  <a:gd name="T3" fmla="*/ 0 h 66"/>
                  <a:gd name="T4" fmla="*/ 0 60000 65536"/>
                  <a:gd name="T5" fmla="*/ 0 60000 65536"/>
                </a:gdLst>
                <a:ahLst/>
                <a:cxnLst>
                  <a:cxn ang="T4">
                    <a:pos x="T0" y="T1"/>
                  </a:cxn>
                  <a:cxn ang="T5">
                    <a:pos x="T2" y="T3"/>
                  </a:cxn>
                </a:cxnLst>
                <a:rect l="0" t="0" r="r" b="b"/>
                <a:pathLst>
                  <a:path w="203" h="66">
                    <a:moveTo>
                      <a:pt x="0" y="66"/>
                    </a:moveTo>
                    <a:lnTo>
                      <a:pt x="203" y="0"/>
                    </a:lnTo>
                  </a:path>
                </a:pathLst>
              </a:custGeom>
              <a:noFill/>
              <a:ln w="9525">
                <a:solidFill>
                  <a:srgbClr xmlns:mc="http://schemas.openxmlformats.org/markup-compatibility/2006" xmlns:a14="http://schemas.microsoft.com/office/drawing/2010/main" val="000000" mc:Ignorable="a14" a14:legacySpreadsheetColorIndex="8"/>
                </a:solidFill>
                <a:round/>
                <a:headEnd type="none" w="med" len="med"/>
                <a:tailEnd type="none" w="med" len="med"/>
              </a:ln>
              <a:extLst>
                <a:ext uri="{909E8E84-426E-40DD-AFC4-6F175D3DCCD1}">
                  <a14:hiddenFill xmlns:a14="http://schemas.microsoft.com/office/drawing/2010/main">
                    <a:solidFill>
                      <a:srgbClr val="FFFFFF"/>
                    </a:solidFill>
                  </a14:hiddenFill>
                </a:ext>
              </a:extLst>
            </xdr:spPr>
          </xdr:sp>
          <xdr:sp macro="" textlink="">
            <xdr:nvSpPr>
              <xdr:cNvPr id="1053369" name="Freeform 416"/>
              <xdr:cNvSpPr>
                <a:spLocks/>
              </xdr:cNvSpPr>
            </xdr:nvSpPr>
            <xdr:spPr bwMode="auto">
              <a:xfrm>
                <a:off x="817" y="1051"/>
                <a:ext cx="68" cy="18"/>
              </a:xfrm>
              <a:custGeom>
                <a:avLst/>
                <a:gdLst>
                  <a:gd name="T0" fmla="*/ 0 w 203"/>
                  <a:gd name="T1" fmla="*/ 0 h 66"/>
                  <a:gd name="T2" fmla="*/ 0 w 203"/>
                  <a:gd name="T3" fmla="*/ 0 h 66"/>
                  <a:gd name="T4" fmla="*/ 0 60000 65536"/>
                  <a:gd name="T5" fmla="*/ 0 60000 65536"/>
                </a:gdLst>
                <a:ahLst/>
                <a:cxnLst>
                  <a:cxn ang="T4">
                    <a:pos x="T0" y="T1"/>
                  </a:cxn>
                  <a:cxn ang="T5">
                    <a:pos x="T2" y="T3"/>
                  </a:cxn>
                </a:cxnLst>
                <a:rect l="0" t="0" r="r" b="b"/>
                <a:pathLst>
                  <a:path w="203" h="66">
                    <a:moveTo>
                      <a:pt x="0" y="66"/>
                    </a:moveTo>
                    <a:lnTo>
                      <a:pt x="203" y="0"/>
                    </a:lnTo>
                  </a:path>
                </a:pathLst>
              </a:custGeom>
              <a:noFill/>
              <a:ln w="9525">
                <a:solidFill>
                  <a:srgbClr xmlns:mc="http://schemas.openxmlformats.org/markup-compatibility/2006" xmlns:a14="http://schemas.microsoft.com/office/drawing/2010/main" val="000000" mc:Ignorable="a14" a14:legacySpreadsheetColorIndex="8"/>
                </a:solidFill>
                <a:round/>
                <a:headEnd type="none" w="med" len="med"/>
                <a:tailEnd type="none" w="med" len="med"/>
              </a:ln>
              <a:extLst>
                <a:ext uri="{909E8E84-426E-40DD-AFC4-6F175D3DCCD1}">
                  <a14:hiddenFill xmlns:a14="http://schemas.microsoft.com/office/drawing/2010/main">
                    <a:solidFill>
                      <a:srgbClr val="FFFFFF"/>
                    </a:solidFill>
                  </a14:hiddenFill>
                </a:ext>
              </a:extLst>
            </xdr:spPr>
          </xdr:sp>
          <xdr:sp macro="" textlink="">
            <xdr:nvSpPr>
              <xdr:cNvPr id="1053370" name="Freeform 444"/>
              <xdr:cNvSpPr>
                <a:spLocks/>
              </xdr:cNvSpPr>
            </xdr:nvSpPr>
            <xdr:spPr bwMode="auto">
              <a:xfrm>
                <a:off x="889" y="1043"/>
                <a:ext cx="25" cy="7"/>
              </a:xfrm>
              <a:custGeom>
                <a:avLst/>
                <a:gdLst>
                  <a:gd name="T0" fmla="*/ 0 w 203"/>
                  <a:gd name="T1" fmla="*/ 0 h 66"/>
                  <a:gd name="T2" fmla="*/ 0 w 203"/>
                  <a:gd name="T3" fmla="*/ 0 h 66"/>
                  <a:gd name="T4" fmla="*/ 0 60000 65536"/>
                  <a:gd name="T5" fmla="*/ 0 60000 65536"/>
                </a:gdLst>
                <a:ahLst/>
                <a:cxnLst>
                  <a:cxn ang="T4">
                    <a:pos x="T0" y="T1"/>
                  </a:cxn>
                  <a:cxn ang="T5">
                    <a:pos x="T2" y="T3"/>
                  </a:cxn>
                </a:cxnLst>
                <a:rect l="0" t="0" r="r" b="b"/>
                <a:pathLst>
                  <a:path w="203" h="66">
                    <a:moveTo>
                      <a:pt x="0" y="66"/>
                    </a:moveTo>
                    <a:lnTo>
                      <a:pt x="203" y="0"/>
                    </a:lnTo>
                  </a:path>
                </a:pathLst>
              </a:custGeom>
              <a:noFill/>
              <a:ln w="3175" cmpd="sng">
                <a:solidFill>
                  <a:srgbClr xmlns:mc="http://schemas.openxmlformats.org/markup-compatibility/2006" xmlns:a14="http://schemas.microsoft.com/office/drawing/2010/main" val="000000" mc:Ignorable="a14" a14:legacySpreadsheetColorIndex="8"/>
                </a:solidFill>
                <a:round/>
                <a:headEnd type="none" w="med" len="med"/>
                <a:tailEnd type="none" w="med" len="med"/>
              </a:ln>
              <a:extLst>
                <a:ext uri="{909E8E84-426E-40DD-AFC4-6F175D3DCCD1}">
                  <a14:hiddenFill xmlns:a14="http://schemas.microsoft.com/office/drawing/2010/main">
                    <a:solidFill>
                      <a:srgbClr val="FFFFFF"/>
                    </a:solidFill>
                  </a14:hiddenFill>
                </a:ext>
              </a:extLst>
            </xdr:spPr>
          </xdr:sp>
          <xdr:sp macro="" textlink="">
            <xdr:nvSpPr>
              <xdr:cNvPr id="1053371" name="Freeform 445"/>
              <xdr:cNvSpPr>
                <a:spLocks/>
              </xdr:cNvSpPr>
            </xdr:nvSpPr>
            <xdr:spPr bwMode="auto">
              <a:xfrm>
                <a:off x="946" y="1015"/>
                <a:ext cx="80" cy="21"/>
              </a:xfrm>
              <a:custGeom>
                <a:avLst/>
                <a:gdLst>
                  <a:gd name="T0" fmla="*/ 0 w 203"/>
                  <a:gd name="T1" fmla="*/ 0 h 66"/>
                  <a:gd name="T2" fmla="*/ 0 w 203"/>
                  <a:gd name="T3" fmla="*/ 0 h 66"/>
                  <a:gd name="T4" fmla="*/ 0 60000 65536"/>
                  <a:gd name="T5" fmla="*/ 0 60000 65536"/>
                </a:gdLst>
                <a:ahLst/>
                <a:cxnLst>
                  <a:cxn ang="T4">
                    <a:pos x="T0" y="T1"/>
                  </a:cxn>
                  <a:cxn ang="T5">
                    <a:pos x="T2" y="T3"/>
                  </a:cxn>
                </a:cxnLst>
                <a:rect l="0" t="0" r="r" b="b"/>
                <a:pathLst>
                  <a:path w="203" h="66">
                    <a:moveTo>
                      <a:pt x="0" y="66"/>
                    </a:moveTo>
                    <a:lnTo>
                      <a:pt x="203" y="0"/>
                    </a:lnTo>
                  </a:path>
                </a:pathLst>
              </a:custGeom>
              <a:noFill/>
              <a:ln w="3175" cmpd="sng">
                <a:solidFill>
                  <a:srgbClr xmlns:mc="http://schemas.openxmlformats.org/markup-compatibility/2006" xmlns:a14="http://schemas.microsoft.com/office/drawing/2010/main" val="000000" mc:Ignorable="a14" a14:legacySpreadsheetColorIndex="8"/>
                </a:solidFill>
                <a:round/>
                <a:headEnd type="none" w="med" len="med"/>
                <a:tailEnd type="none" w="med" len="med"/>
              </a:ln>
              <a:extLst>
                <a:ext uri="{909E8E84-426E-40DD-AFC4-6F175D3DCCD1}">
                  <a14:hiddenFill xmlns:a14="http://schemas.microsoft.com/office/drawing/2010/main">
                    <a:solidFill>
                      <a:srgbClr val="FFFFFF"/>
                    </a:solidFill>
                  </a14:hiddenFill>
                </a:ext>
              </a:extLst>
            </xdr:spPr>
          </xdr:sp>
          <xdr:grpSp>
            <xdr:nvGrpSpPr>
              <xdr:cNvPr id="1053372" name="Group 10578"/>
              <xdr:cNvGrpSpPr>
                <a:grpSpLocks/>
              </xdr:cNvGrpSpPr>
            </xdr:nvGrpSpPr>
            <xdr:grpSpPr bwMode="auto">
              <a:xfrm>
                <a:off x="671" y="934"/>
                <a:ext cx="479" cy="209"/>
                <a:chOff x="671" y="934"/>
                <a:chExt cx="479" cy="209"/>
              </a:xfrm>
            </xdr:grpSpPr>
            <xdr:grpSp>
              <xdr:nvGrpSpPr>
                <xdr:cNvPr id="1053373" name="Group 407"/>
                <xdr:cNvGrpSpPr>
                  <a:grpSpLocks/>
                </xdr:cNvGrpSpPr>
              </xdr:nvGrpSpPr>
              <xdr:grpSpPr bwMode="auto">
                <a:xfrm>
                  <a:off x="729" y="1002"/>
                  <a:ext cx="161" cy="130"/>
                  <a:chOff x="864" y="1398"/>
                  <a:chExt cx="296" cy="343"/>
                </a:xfrm>
              </xdr:grpSpPr>
              <xdr:sp macro="" textlink="">
                <xdr:nvSpPr>
                  <xdr:cNvPr id="1053399" name="Freeform 408"/>
                  <xdr:cNvSpPr>
                    <a:spLocks/>
                  </xdr:cNvSpPr>
                </xdr:nvSpPr>
                <xdr:spPr bwMode="auto">
                  <a:xfrm>
                    <a:off x="1149" y="1497"/>
                    <a:ext cx="11" cy="243"/>
                  </a:xfrm>
                  <a:custGeom>
                    <a:avLst/>
                    <a:gdLst>
                      <a:gd name="T0" fmla="*/ 0 w 11"/>
                      <a:gd name="T1" fmla="*/ 0 h 243"/>
                      <a:gd name="T2" fmla="*/ 11 w 11"/>
                      <a:gd name="T3" fmla="*/ 3 h 243"/>
                      <a:gd name="T4" fmla="*/ 11 w 11"/>
                      <a:gd name="T5" fmla="*/ 243 h 243"/>
                      <a:gd name="T6" fmla="*/ 0 w 11"/>
                      <a:gd name="T7" fmla="*/ 239 h 243"/>
                      <a:gd name="T8" fmla="*/ 0 w 11"/>
                      <a:gd name="T9" fmla="*/ 0 h 243"/>
                      <a:gd name="T10" fmla="*/ 0 60000 65536"/>
                      <a:gd name="T11" fmla="*/ 0 60000 65536"/>
                      <a:gd name="T12" fmla="*/ 0 60000 65536"/>
                      <a:gd name="T13" fmla="*/ 0 60000 65536"/>
                      <a:gd name="T14" fmla="*/ 0 60000 65536"/>
                    </a:gdLst>
                    <a:ahLst/>
                    <a:cxnLst>
                      <a:cxn ang="T10">
                        <a:pos x="T0" y="T1"/>
                      </a:cxn>
                      <a:cxn ang="T11">
                        <a:pos x="T2" y="T3"/>
                      </a:cxn>
                      <a:cxn ang="T12">
                        <a:pos x="T4" y="T5"/>
                      </a:cxn>
                      <a:cxn ang="T13">
                        <a:pos x="T6" y="T7"/>
                      </a:cxn>
                      <a:cxn ang="T14">
                        <a:pos x="T8" y="T9"/>
                      </a:cxn>
                    </a:cxnLst>
                    <a:rect l="0" t="0" r="r" b="b"/>
                    <a:pathLst>
                      <a:path w="11" h="243">
                        <a:moveTo>
                          <a:pt x="0" y="0"/>
                        </a:moveTo>
                        <a:lnTo>
                          <a:pt x="11" y="3"/>
                        </a:lnTo>
                        <a:lnTo>
                          <a:pt x="11" y="243"/>
                        </a:lnTo>
                        <a:lnTo>
                          <a:pt x="0" y="239"/>
                        </a:lnTo>
                        <a:lnTo>
                          <a:pt x="0" y="0"/>
                        </a:lnTo>
                        <a:close/>
                      </a:path>
                    </a:pathLst>
                  </a:custGeom>
                  <a:solidFill>
                    <a:srgbClr xmlns:mc="http://schemas.openxmlformats.org/markup-compatibility/2006" xmlns:a14="http://schemas.microsoft.com/office/drawing/2010/main" val="969696" mc:Ignorable="a14" a14:legacySpreadsheetColorIndex="55"/>
                  </a:solidFill>
                  <a:ln w="9525">
                    <a:solidFill>
                      <a:srgbClr xmlns:mc="http://schemas.openxmlformats.org/markup-compatibility/2006" xmlns:a14="http://schemas.microsoft.com/office/drawing/2010/main" val="969696" mc:Ignorable="a14" a14:legacySpreadsheetColorIndex="55"/>
                    </a:solidFill>
                    <a:round/>
                    <a:headEnd/>
                    <a:tailEnd/>
                  </a:ln>
                </xdr:spPr>
              </xdr:sp>
              <xdr:sp macro="" textlink="">
                <xdr:nvSpPr>
                  <xdr:cNvPr id="1053400" name="Freeform 409"/>
                  <xdr:cNvSpPr>
                    <a:spLocks/>
                  </xdr:cNvSpPr>
                </xdr:nvSpPr>
                <xdr:spPr bwMode="auto">
                  <a:xfrm>
                    <a:off x="864" y="1399"/>
                    <a:ext cx="12" cy="244"/>
                  </a:xfrm>
                  <a:custGeom>
                    <a:avLst/>
                    <a:gdLst>
                      <a:gd name="T0" fmla="*/ 0 w 12"/>
                      <a:gd name="T1" fmla="*/ 0 h 244"/>
                      <a:gd name="T2" fmla="*/ 12 w 12"/>
                      <a:gd name="T3" fmla="*/ 4 h 244"/>
                      <a:gd name="T4" fmla="*/ 12 w 12"/>
                      <a:gd name="T5" fmla="*/ 244 h 244"/>
                      <a:gd name="T6" fmla="*/ 0 w 12"/>
                      <a:gd name="T7" fmla="*/ 240 h 244"/>
                      <a:gd name="T8" fmla="*/ 0 w 12"/>
                      <a:gd name="T9" fmla="*/ 0 h 244"/>
                      <a:gd name="T10" fmla="*/ 0 60000 65536"/>
                      <a:gd name="T11" fmla="*/ 0 60000 65536"/>
                      <a:gd name="T12" fmla="*/ 0 60000 65536"/>
                      <a:gd name="T13" fmla="*/ 0 60000 65536"/>
                      <a:gd name="T14" fmla="*/ 0 60000 65536"/>
                    </a:gdLst>
                    <a:ahLst/>
                    <a:cxnLst>
                      <a:cxn ang="T10">
                        <a:pos x="T0" y="T1"/>
                      </a:cxn>
                      <a:cxn ang="T11">
                        <a:pos x="T2" y="T3"/>
                      </a:cxn>
                      <a:cxn ang="T12">
                        <a:pos x="T4" y="T5"/>
                      </a:cxn>
                      <a:cxn ang="T13">
                        <a:pos x="T6" y="T7"/>
                      </a:cxn>
                      <a:cxn ang="T14">
                        <a:pos x="T8" y="T9"/>
                      </a:cxn>
                    </a:cxnLst>
                    <a:rect l="0" t="0" r="r" b="b"/>
                    <a:pathLst>
                      <a:path w="12" h="244">
                        <a:moveTo>
                          <a:pt x="0" y="0"/>
                        </a:moveTo>
                        <a:lnTo>
                          <a:pt x="12" y="4"/>
                        </a:lnTo>
                        <a:lnTo>
                          <a:pt x="12" y="244"/>
                        </a:lnTo>
                        <a:lnTo>
                          <a:pt x="0" y="240"/>
                        </a:lnTo>
                        <a:lnTo>
                          <a:pt x="0" y="0"/>
                        </a:lnTo>
                        <a:close/>
                      </a:path>
                    </a:pathLst>
                  </a:custGeom>
                  <a:solidFill>
                    <a:srgbClr xmlns:mc="http://schemas.openxmlformats.org/markup-compatibility/2006" xmlns:a14="http://schemas.microsoft.com/office/drawing/2010/main" val="969696" mc:Ignorable="a14" a14:legacySpreadsheetColorIndex="55"/>
                  </a:solidFill>
                  <a:ln w="9525">
                    <a:solidFill>
                      <a:srgbClr xmlns:mc="http://schemas.openxmlformats.org/markup-compatibility/2006" xmlns:a14="http://schemas.microsoft.com/office/drawing/2010/main" val="969696" mc:Ignorable="a14" a14:legacySpreadsheetColorIndex="55"/>
                    </a:solidFill>
                    <a:round/>
                    <a:headEnd/>
                    <a:tailEnd/>
                  </a:ln>
                </xdr:spPr>
              </xdr:sp>
              <xdr:sp macro="" textlink="">
                <xdr:nvSpPr>
                  <xdr:cNvPr id="1053401" name="Freeform 410"/>
                  <xdr:cNvSpPr>
                    <a:spLocks/>
                  </xdr:cNvSpPr>
                </xdr:nvSpPr>
                <xdr:spPr bwMode="auto">
                  <a:xfrm>
                    <a:off x="864" y="1627"/>
                    <a:ext cx="296" cy="114"/>
                  </a:xfrm>
                  <a:custGeom>
                    <a:avLst/>
                    <a:gdLst>
                      <a:gd name="T0" fmla="*/ 1 w 296"/>
                      <a:gd name="T1" fmla="*/ 0 h 114"/>
                      <a:gd name="T2" fmla="*/ 296 w 296"/>
                      <a:gd name="T3" fmla="*/ 100 h 114"/>
                      <a:gd name="T4" fmla="*/ 296 w 296"/>
                      <a:gd name="T5" fmla="*/ 114 h 114"/>
                      <a:gd name="T6" fmla="*/ 0 w 296"/>
                      <a:gd name="T7" fmla="*/ 13 h 114"/>
                      <a:gd name="T8" fmla="*/ 0 w 296"/>
                      <a:gd name="T9" fmla="*/ 1 h 114"/>
                      <a:gd name="T10" fmla="*/ 0 60000 65536"/>
                      <a:gd name="T11" fmla="*/ 0 60000 65536"/>
                      <a:gd name="T12" fmla="*/ 0 60000 65536"/>
                      <a:gd name="T13" fmla="*/ 0 60000 65536"/>
                      <a:gd name="T14" fmla="*/ 0 60000 65536"/>
                    </a:gdLst>
                    <a:ahLst/>
                    <a:cxnLst>
                      <a:cxn ang="T10">
                        <a:pos x="T0" y="T1"/>
                      </a:cxn>
                      <a:cxn ang="T11">
                        <a:pos x="T2" y="T3"/>
                      </a:cxn>
                      <a:cxn ang="T12">
                        <a:pos x="T4" y="T5"/>
                      </a:cxn>
                      <a:cxn ang="T13">
                        <a:pos x="T6" y="T7"/>
                      </a:cxn>
                      <a:cxn ang="T14">
                        <a:pos x="T8" y="T9"/>
                      </a:cxn>
                    </a:cxnLst>
                    <a:rect l="0" t="0" r="r" b="b"/>
                    <a:pathLst>
                      <a:path w="296" h="114">
                        <a:moveTo>
                          <a:pt x="1" y="0"/>
                        </a:moveTo>
                        <a:lnTo>
                          <a:pt x="296" y="100"/>
                        </a:lnTo>
                        <a:lnTo>
                          <a:pt x="296" y="114"/>
                        </a:lnTo>
                        <a:lnTo>
                          <a:pt x="0" y="13"/>
                        </a:lnTo>
                        <a:lnTo>
                          <a:pt x="0" y="1"/>
                        </a:lnTo>
                      </a:path>
                    </a:pathLst>
                  </a:custGeom>
                  <a:solidFill>
                    <a:srgbClr xmlns:mc="http://schemas.openxmlformats.org/markup-compatibility/2006" xmlns:a14="http://schemas.microsoft.com/office/drawing/2010/main" val="969696" mc:Ignorable="a14" a14:legacySpreadsheetColorIndex="55"/>
                  </a:solidFill>
                  <a:ln w="9525">
                    <a:solidFill>
                      <a:srgbClr xmlns:mc="http://schemas.openxmlformats.org/markup-compatibility/2006" xmlns:a14="http://schemas.microsoft.com/office/drawing/2010/main" val="969696" mc:Ignorable="a14" a14:legacySpreadsheetColorIndex="55"/>
                    </a:solidFill>
                    <a:round/>
                    <a:headEnd/>
                    <a:tailEnd/>
                  </a:ln>
                </xdr:spPr>
              </xdr:sp>
              <xdr:sp macro="" textlink="">
                <xdr:nvSpPr>
                  <xdr:cNvPr id="1053402" name="Freeform 411"/>
                  <xdr:cNvSpPr>
                    <a:spLocks/>
                  </xdr:cNvSpPr>
                </xdr:nvSpPr>
                <xdr:spPr bwMode="auto">
                  <a:xfrm>
                    <a:off x="864" y="1398"/>
                    <a:ext cx="296" cy="114"/>
                  </a:xfrm>
                  <a:custGeom>
                    <a:avLst/>
                    <a:gdLst>
                      <a:gd name="T0" fmla="*/ 1 w 296"/>
                      <a:gd name="T1" fmla="*/ 0 h 114"/>
                      <a:gd name="T2" fmla="*/ 296 w 296"/>
                      <a:gd name="T3" fmla="*/ 101 h 114"/>
                      <a:gd name="T4" fmla="*/ 296 w 296"/>
                      <a:gd name="T5" fmla="*/ 114 h 114"/>
                      <a:gd name="T6" fmla="*/ 0 w 296"/>
                      <a:gd name="T7" fmla="*/ 13 h 114"/>
                      <a:gd name="T8" fmla="*/ 0 w 296"/>
                      <a:gd name="T9" fmla="*/ 1 h 114"/>
                      <a:gd name="T10" fmla="*/ 0 60000 65536"/>
                      <a:gd name="T11" fmla="*/ 0 60000 65536"/>
                      <a:gd name="T12" fmla="*/ 0 60000 65536"/>
                      <a:gd name="T13" fmla="*/ 0 60000 65536"/>
                      <a:gd name="T14" fmla="*/ 0 60000 65536"/>
                    </a:gdLst>
                    <a:ahLst/>
                    <a:cxnLst>
                      <a:cxn ang="T10">
                        <a:pos x="T0" y="T1"/>
                      </a:cxn>
                      <a:cxn ang="T11">
                        <a:pos x="T2" y="T3"/>
                      </a:cxn>
                      <a:cxn ang="T12">
                        <a:pos x="T4" y="T5"/>
                      </a:cxn>
                      <a:cxn ang="T13">
                        <a:pos x="T6" y="T7"/>
                      </a:cxn>
                      <a:cxn ang="T14">
                        <a:pos x="T8" y="T9"/>
                      </a:cxn>
                    </a:cxnLst>
                    <a:rect l="0" t="0" r="r" b="b"/>
                    <a:pathLst>
                      <a:path w="296" h="114">
                        <a:moveTo>
                          <a:pt x="1" y="0"/>
                        </a:moveTo>
                        <a:lnTo>
                          <a:pt x="296" y="101"/>
                        </a:lnTo>
                        <a:lnTo>
                          <a:pt x="296" y="114"/>
                        </a:lnTo>
                        <a:lnTo>
                          <a:pt x="0" y="13"/>
                        </a:lnTo>
                        <a:lnTo>
                          <a:pt x="0" y="1"/>
                        </a:lnTo>
                      </a:path>
                    </a:pathLst>
                  </a:custGeom>
                  <a:solidFill>
                    <a:srgbClr xmlns:mc="http://schemas.openxmlformats.org/markup-compatibility/2006" xmlns:a14="http://schemas.microsoft.com/office/drawing/2010/main" val="969696" mc:Ignorable="a14" a14:legacySpreadsheetColorIndex="55"/>
                  </a:solidFill>
                  <a:ln w="9525">
                    <a:solidFill>
                      <a:srgbClr xmlns:mc="http://schemas.openxmlformats.org/markup-compatibility/2006" xmlns:a14="http://schemas.microsoft.com/office/drawing/2010/main" val="969696" mc:Ignorable="a14" a14:legacySpreadsheetColorIndex="55"/>
                    </a:solidFill>
                    <a:round/>
                    <a:headEnd/>
                    <a:tailEnd/>
                  </a:ln>
                </xdr:spPr>
              </xdr:sp>
            </xdr:grpSp>
            <xdr:sp macro="" textlink="">
              <xdr:nvSpPr>
                <xdr:cNvPr id="1053374" name="Freeform 412"/>
                <xdr:cNvSpPr>
                  <a:spLocks/>
                </xdr:cNvSpPr>
              </xdr:nvSpPr>
              <xdr:spPr bwMode="auto">
                <a:xfrm>
                  <a:off x="890" y="1065"/>
                  <a:ext cx="260" cy="67"/>
                </a:xfrm>
                <a:custGeom>
                  <a:avLst/>
                  <a:gdLst>
                    <a:gd name="T0" fmla="*/ 0 w 203"/>
                    <a:gd name="T1" fmla="*/ 354 h 66"/>
                    <a:gd name="T2" fmla="*/ 2147483647 w 203"/>
                    <a:gd name="T3" fmla="*/ 0 h 66"/>
                    <a:gd name="T4" fmla="*/ 0 60000 65536"/>
                    <a:gd name="T5" fmla="*/ 0 60000 65536"/>
                  </a:gdLst>
                  <a:ahLst/>
                  <a:cxnLst>
                    <a:cxn ang="T4">
                      <a:pos x="T0" y="T1"/>
                    </a:cxn>
                    <a:cxn ang="T5">
                      <a:pos x="T2" y="T3"/>
                    </a:cxn>
                  </a:cxnLst>
                  <a:rect l="0" t="0" r="r" b="b"/>
                  <a:pathLst>
                    <a:path w="203" h="66">
                      <a:moveTo>
                        <a:pt x="0" y="66"/>
                      </a:moveTo>
                      <a:lnTo>
                        <a:pt x="203" y="0"/>
                      </a:lnTo>
                    </a:path>
                  </a:pathLst>
                </a:custGeom>
                <a:noFill/>
                <a:ln w="9525">
                  <a:solidFill>
                    <a:srgbClr xmlns:mc="http://schemas.openxmlformats.org/markup-compatibility/2006" xmlns:a14="http://schemas.microsoft.com/office/drawing/2010/main" val="000000" mc:Ignorable="a14" a14:legacySpreadsheetColorIndex="8"/>
                  </a:solidFill>
                  <a:round/>
                  <a:headEnd type="none" w="med" len="med"/>
                  <a:tailEnd type="none" w="med" len="med"/>
                </a:ln>
                <a:extLst>
                  <a:ext uri="{909E8E84-426E-40DD-AFC4-6F175D3DCCD1}">
                    <a14:hiddenFill xmlns:a14="http://schemas.microsoft.com/office/drawing/2010/main">
                      <a:solidFill>
                        <a:srgbClr val="FFFFFF"/>
                      </a:solidFill>
                    </a14:hiddenFill>
                  </a:ext>
                </a:extLst>
              </xdr:spPr>
            </xdr:sp>
            <xdr:sp macro="" textlink="">
              <xdr:nvSpPr>
                <xdr:cNvPr id="1053375" name="Freeform 413"/>
                <xdr:cNvSpPr>
                  <a:spLocks/>
                </xdr:cNvSpPr>
              </xdr:nvSpPr>
              <xdr:spPr bwMode="auto">
                <a:xfrm>
                  <a:off x="992" y="934"/>
                  <a:ext cx="157" cy="37"/>
                </a:xfrm>
                <a:custGeom>
                  <a:avLst/>
                  <a:gdLst>
                    <a:gd name="T0" fmla="*/ 0 w 284"/>
                    <a:gd name="T1" fmla="*/ 0 h 104"/>
                    <a:gd name="T2" fmla="*/ 1 w 284"/>
                    <a:gd name="T3" fmla="*/ 0 h 104"/>
                    <a:gd name="T4" fmla="*/ 1 w 284"/>
                    <a:gd name="T5" fmla="*/ 0 h 104"/>
                    <a:gd name="T6" fmla="*/ 1 w 284"/>
                    <a:gd name="T7" fmla="*/ 0 h 104"/>
                    <a:gd name="T8" fmla="*/ 1 w 284"/>
                    <a:gd name="T9" fmla="*/ 0 h 104"/>
                    <a:gd name="T10" fmla="*/ 1 w 284"/>
                    <a:gd name="T11" fmla="*/ 0 h 104"/>
                    <a:gd name="T12" fmla="*/ 1 w 284"/>
                    <a:gd name="T13" fmla="*/ 0 h 104"/>
                    <a:gd name="T14" fmla="*/ 1 w 284"/>
                    <a:gd name="T15" fmla="*/ 0 h 104"/>
                    <a:gd name="T16" fmla="*/ 1 w 284"/>
                    <a:gd name="T17" fmla="*/ 0 h 104"/>
                    <a:gd name="T18" fmla="*/ 1 w 284"/>
                    <a:gd name="T19" fmla="*/ 0 h 104"/>
                    <a:gd name="T20" fmla="*/ 1 w 284"/>
                    <a:gd name="T21" fmla="*/ 0 h 104"/>
                    <a:gd name="T22" fmla="*/ 1 w 284"/>
                    <a:gd name="T23" fmla="*/ 0 h 104"/>
                    <a:gd name="T24" fmla="*/ 1 w 284"/>
                    <a:gd name="T25" fmla="*/ 0 h 104"/>
                    <a:gd name="T26" fmla="*/ 1 w 284"/>
                    <a:gd name="T27" fmla="*/ 0 h 104"/>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0" t="0" r="r" b="b"/>
                  <a:pathLst>
                    <a:path w="284" h="104">
                      <a:moveTo>
                        <a:pt x="0" y="0"/>
                      </a:moveTo>
                      <a:cubicBezTo>
                        <a:pt x="9" y="2"/>
                        <a:pt x="8" y="8"/>
                        <a:pt x="17" y="11"/>
                      </a:cubicBezTo>
                      <a:cubicBezTo>
                        <a:pt x="25" y="14"/>
                        <a:pt x="37" y="15"/>
                        <a:pt x="48" y="18"/>
                      </a:cubicBezTo>
                      <a:cubicBezTo>
                        <a:pt x="59" y="21"/>
                        <a:pt x="72" y="25"/>
                        <a:pt x="82" y="28"/>
                      </a:cubicBezTo>
                      <a:cubicBezTo>
                        <a:pt x="95" y="33"/>
                        <a:pt x="101" y="31"/>
                        <a:pt x="110" y="33"/>
                      </a:cubicBezTo>
                      <a:cubicBezTo>
                        <a:pt x="119" y="35"/>
                        <a:pt x="128" y="36"/>
                        <a:pt x="138" y="39"/>
                      </a:cubicBezTo>
                      <a:cubicBezTo>
                        <a:pt x="150" y="41"/>
                        <a:pt x="158" y="45"/>
                        <a:pt x="170" y="49"/>
                      </a:cubicBezTo>
                      <a:cubicBezTo>
                        <a:pt x="174" y="53"/>
                        <a:pt x="179" y="57"/>
                        <a:pt x="184" y="59"/>
                      </a:cubicBezTo>
                      <a:cubicBezTo>
                        <a:pt x="188" y="63"/>
                        <a:pt x="193" y="66"/>
                        <a:pt x="199" y="68"/>
                      </a:cubicBezTo>
                      <a:cubicBezTo>
                        <a:pt x="205" y="70"/>
                        <a:pt x="214" y="71"/>
                        <a:pt x="218" y="72"/>
                      </a:cubicBezTo>
                      <a:cubicBezTo>
                        <a:pt x="222" y="73"/>
                        <a:pt x="223" y="74"/>
                        <a:pt x="226" y="76"/>
                      </a:cubicBezTo>
                      <a:cubicBezTo>
                        <a:pt x="229" y="78"/>
                        <a:pt x="231" y="84"/>
                        <a:pt x="235" y="85"/>
                      </a:cubicBezTo>
                      <a:cubicBezTo>
                        <a:pt x="245" y="89"/>
                        <a:pt x="248" y="92"/>
                        <a:pt x="258" y="94"/>
                      </a:cubicBezTo>
                      <a:cubicBezTo>
                        <a:pt x="259" y="102"/>
                        <a:pt x="279" y="102"/>
                        <a:pt x="284" y="104"/>
                      </a:cubicBez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1053376" name="Freeform 417"/>
                <xdr:cNvSpPr>
                  <a:spLocks/>
                </xdr:cNvSpPr>
              </xdr:nvSpPr>
              <xdr:spPr bwMode="auto">
                <a:xfrm>
                  <a:off x="731" y="934"/>
                  <a:ext cx="265" cy="68"/>
                </a:xfrm>
                <a:custGeom>
                  <a:avLst/>
                  <a:gdLst>
                    <a:gd name="T0" fmla="*/ 0 w 203"/>
                    <a:gd name="T1" fmla="*/ 2056 h 66"/>
                    <a:gd name="T2" fmla="*/ 2147483647 w 203"/>
                    <a:gd name="T3" fmla="*/ 0 h 66"/>
                    <a:gd name="T4" fmla="*/ 0 60000 65536"/>
                    <a:gd name="T5" fmla="*/ 0 60000 65536"/>
                  </a:gdLst>
                  <a:ahLst/>
                  <a:cxnLst>
                    <a:cxn ang="T4">
                      <a:pos x="T0" y="T1"/>
                    </a:cxn>
                    <a:cxn ang="T5">
                      <a:pos x="T2" y="T3"/>
                    </a:cxn>
                  </a:cxnLst>
                  <a:rect l="0" t="0" r="r" b="b"/>
                  <a:pathLst>
                    <a:path w="203" h="66">
                      <a:moveTo>
                        <a:pt x="0" y="66"/>
                      </a:moveTo>
                      <a:lnTo>
                        <a:pt x="203" y="0"/>
                      </a:lnTo>
                    </a:path>
                  </a:pathLst>
                </a:custGeom>
                <a:noFill/>
                <a:ln w="9525">
                  <a:solidFill>
                    <a:srgbClr xmlns:mc="http://schemas.openxmlformats.org/markup-compatibility/2006" xmlns:a14="http://schemas.microsoft.com/office/drawing/2010/main" val="000000" mc:Ignorable="a14" a14:legacySpreadsheetColorIndex="8"/>
                  </a:solidFill>
                  <a:round/>
                  <a:headEnd type="none" w="med" len="med"/>
                  <a:tailEnd type="none" w="med" len="med"/>
                </a:ln>
                <a:extLst>
                  <a:ext uri="{909E8E84-426E-40DD-AFC4-6F175D3DCCD1}">
                    <a14:hiddenFill xmlns:a14="http://schemas.microsoft.com/office/drawing/2010/main">
                      <a:solidFill>
                        <a:srgbClr val="FFFFFF"/>
                      </a:solidFill>
                    </a14:hiddenFill>
                  </a:ext>
                </a:extLst>
              </xdr:spPr>
            </xdr:sp>
            <xdr:sp macro="" textlink="">
              <xdr:nvSpPr>
                <xdr:cNvPr id="1053377" name="Freeform 449"/>
                <xdr:cNvSpPr>
                  <a:spLocks/>
                </xdr:cNvSpPr>
              </xdr:nvSpPr>
              <xdr:spPr bwMode="auto">
                <a:xfrm>
                  <a:off x="890" y="972"/>
                  <a:ext cx="260" cy="68"/>
                </a:xfrm>
                <a:custGeom>
                  <a:avLst/>
                  <a:gdLst>
                    <a:gd name="T0" fmla="*/ 0 w 203"/>
                    <a:gd name="T1" fmla="*/ 2056 h 66"/>
                    <a:gd name="T2" fmla="*/ 2147483647 w 203"/>
                    <a:gd name="T3" fmla="*/ 0 h 66"/>
                    <a:gd name="T4" fmla="*/ 0 60000 65536"/>
                    <a:gd name="T5" fmla="*/ 0 60000 65536"/>
                  </a:gdLst>
                  <a:ahLst/>
                  <a:cxnLst>
                    <a:cxn ang="T4">
                      <a:pos x="T0" y="T1"/>
                    </a:cxn>
                    <a:cxn ang="T5">
                      <a:pos x="T2" y="T3"/>
                    </a:cxn>
                  </a:cxnLst>
                  <a:rect l="0" t="0" r="r" b="b"/>
                  <a:pathLst>
                    <a:path w="203" h="66">
                      <a:moveTo>
                        <a:pt x="0" y="66"/>
                      </a:moveTo>
                      <a:lnTo>
                        <a:pt x="203" y="0"/>
                      </a:lnTo>
                    </a:path>
                  </a:pathLst>
                </a:custGeom>
                <a:noFill/>
                <a:ln w="9525">
                  <a:solidFill>
                    <a:srgbClr xmlns:mc="http://schemas.openxmlformats.org/markup-compatibility/2006" xmlns:a14="http://schemas.microsoft.com/office/drawing/2010/main" val="000000" mc:Ignorable="a14" a14:legacySpreadsheetColorIndex="8"/>
                  </a:solidFill>
                  <a:round/>
                  <a:headEnd type="none" w="med" len="med"/>
                  <a:tailEnd type="none" w="med" len="med"/>
                </a:ln>
                <a:extLst>
                  <a:ext uri="{909E8E84-426E-40DD-AFC4-6F175D3DCCD1}">
                    <a14:hiddenFill xmlns:a14="http://schemas.microsoft.com/office/drawing/2010/main">
                      <a:solidFill>
                        <a:srgbClr val="FFFFFF"/>
                      </a:solidFill>
                    </a14:hiddenFill>
                  </a:ext>
                </a:extLst>
              </xdr:spPr>
            </xdr:sp>
            <xdr:grpSp>
              <xdr:nvGrpSpPr>
                <xdr:cNvPr id="1053378" name="Group 451"/>
                <xdr:cNvGrpSpPr>
                  <a:grpSpLocks/>
                </xdr:cNvGrpSpPr>
              </xdr:nvGrpSpPr>
              <xdr:grpSpPr bwMode="auto">
                <a:xfrm>
                  <a:off x="736" y="1093"/>
                  <a:ext cx="148" cy="50"/>
                  <a:chOff x="1848" y="1503"/>
                  <a:chExt cx="113" cy="58"/>
                </a:xfrm>
              </xdr:grpSpPr>
              <xdr:sp macro="" textlink="">
                <xdr:nvSpPr>
                  <xdr:cNvPr id="1053395" name="Line 452"/>
                  <xdr:cNvSpPr>
                    <a:spLocks noChangeShapeType="1"/>
                  </xdr:cNvSpPr>
                </xdr:nvSpPr>
                <xdr:spPr bwMode="auto">
                  <a:xfrm>
                    <a:off x="1848" y="1503"/>
                    <a:ext cx="0" cy="19"/>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53396" name="Line 453"/>
                  <xdr:cNvSpPr>
                    <a:spLocks noChangeShapeType="1"/>
                  </xdr:cNvSpPr>
                </xdr:nvSpPr>
                <xdr:spPr bwMode="auto">
                  <a:xfrm>
                    <a:off x="1961" y="1541"/>
                    <a:ext cx="0" cy="2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53397" name="Line 454"/>
                  <xdr:cNvSpPr>
                    <a:spLocks noChangeShapeType="1"/>
                  </xdr:cNvSpPr>
                </xdr:nvSpPr>
                <xdr:spPr bwMode="auto">
                  <a:xfrm>
                    <a:off x="1848" y="1519"/>
                    <a:ext cx="112" cy="40"/>
                  </a:xfrm>
                  <a:prstGeom prst="line">
                    <a:avLst/>
                  </a:prstGeom>
                  <a:noFill/>
                  <a:ln w="3175">
                    <a:solidFill>
                      <a:srgbClr xmlns:mc="http://schemas.openxmlformats.org/markup-compatibility/2006" xmlns:a14="http://schemas.microsoft.com/office/drawing/2010/main" val="000000" mc:Ignorable="a14" a14:legacySpreadsheetColorIndex="64"/>
                    </a:solidFill>
                    <a:round/>
                    <a:headEnd type="triangle" w="sm" len="sm"/>
                    <a:tailEnd type="triangle" w="sm" len="sm"/>
                  </a:ln>
                  <a:extLst>
                    <a:ext uri="{909E8E84-426E-40DD-AFC4-6F175D3DCCD1}">
                      <a14:hiddenFill xmlns:a14="http://schemas.microsoft.com/office/drawing/2010/main">
                        <a:noFill/>
                      </a14:hiddenFill>
                    </a:ext>
                  </a:extLst>
                </xdr:spPr>
              </xdr:sp>
              <xdr:sp macro="" textlink="">
                <xdr:nvSpPr>
                  <xdr:cNvPr id="9671" name="Text Box 455"/>
                  <xdr:cNvSpPr txBox="1">
                    <a:spLocks noChangeArrowheads="1"/>
                  </xdr:cNvSpPr>
                </xdr:nvSpPr>
                <xdr:spPr bwMode="auto">
                  <a:xfrm>
                    <a:off x="1879" y="1538"/>
                    <a:ext cx="33" cy="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ctr" rtl="0">
                      <a:defRPr sz="1000"/>
                    </a:pPr>
                    <a:r>
                      <a:rPr lang="it-IT" sz="800" b="0" i="0" u="none" strike="noStrike" baseline="0">
                        <a:solidFill>
                          <a:srgbClr val="000000"/>
                        </a:solidFill>
                        <a:latin typeface="Arial"/>
                        <a:cs typeface="Arial"/>
                      </a:rPr>
                      <a:t>C1</a:t>
                    </a:r>
                  </a:p>
                </xdr:txBody>
              </xdr:sp>
            </xdr:grpSp>
            <xdr:grpSp>
              <xdr:nvGrpSpPr>
                <xdr:cNvPr id="1053379" name="Group 461"/>
                <xdr:cNvGrpSpPr>
                  <a:grpSpLocks/>
                </xdr:cNvGrpSpPr>
              </xdr:nvGrpSpPr>
              <xdr:grpSpPr bwMode="auto">
                <a:xfrm>
                  <a:off x="671" y="1000"/>
                  <a:ext cx="61" cy="90"/>
                  <a:chOff x="1800" y="1399"/>
                  <a:chExt cx="46" cy="101"/>
                </a:xfrm>
              </xdr:grpSpPr>
              <xdr:sp macro="" textlink="">
                <xdr:nvSpPr>
                  <xdr:cNvPr id="1053391" name="Line 462"/>
                  <xdr:cNvSpPr>
                    <a:spLocks noChangeShapeType="1"/>
                  </xdr:cNvSpPr>
                </xdr:nvSpPr>
                <xdr:spPr bwMode="auto">
                  <a:xfrm flipH="1" flipV="1">
                    <a:off x="1823" y="1399"/>
                    <a:ext cx="23" cy="7"/>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53392" name="Line 463"/>
                  <xdr:cNvSpPr>
                    <a:spLocks noChangeShapeType="1"/>
                  </xdr:cNvSpPr>
                </xdr:nvSpPr>
                <xdr:spPr bwMode="auto">
                  <a:xfrm flipH="1" flipV="1">
                    <a:off x="1823" y="1494"/>
                    <a:ext cx="19" cy="6"/>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53393" name="Line 464"/>
                  <xdr:cNvSpPr>
                    <a:spLocks noChangeShapeType="1"/>
                  </xdr:cNvSpPr>
                </xdr:nvSpPr>
                <xdr:spPr bwMode="auto">
                  <a:xfrm>
                    <a:off x="1829" y="1400"/>
                    <a:ext cx="0" cy="95"/>
                  </a:xfrm>
                  <a:prstGeom prst="line">
                    <a:avLst/>
                  </a:prstGeom>
                  <a:noFill/>
                  <a:ln w="3175">
                    <a:solidFill>
                      <a:srgbClr xmlns:mc="http://schemas.openxmlformats.org/markup-compatibility/2006" xmlns:a14="http://schemas.microsoft.com/office/drawing/2010/main" val="000000" mc:Ignorable="a14" a14:legacySpreadsheetColorIndex="64"/>
                    </a:solidFill>
                    <a:round/>
                    <a:headEnd type="triangle" w="sm" len="sm"/>
                    <a:tailEnd type="triangle" w="sm" len="sm"/>
                  </a:ln>
                  <a:extLst>
                    <a:ext uri="{909E8E84-426E-40DD-AFC4-6F175D3DCCD1}">
                      <a14:hiddenFill xmlns:a14="http://schemas.microsoft.com/office/drawing/2010/main">
                        <a:noFill/>
                      </a14:hiddenFill>
                    </a:ext>
                  </a:extLst>
                </xdr:spPr>
              </xdr:sp>
              <xdr:sp macro="" textlink="">
                <xdr:nvSpPr>
                  <xdr:cNvPr id="9681" name="Text Box 465"/>
                  <xdr:cNvSpPr txBox="1">
                    <a:spLocks noChangeArrowheads="1"/>
                  </xdr:cNvSpPr>
                </xdr:nvSpPr>
                <xdr:spPr bwMode="auto">
                  <a:xfrm>
                    <a:off x="1800" y="1437"/>
                    <a:ext cx="33" cy="2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ctr" rtl="0">
                      <a:defRPr sz="1000"/>
                    </a:pPr>
                    <a:r>
                      <a:rPr lang="it-IT" sz="800" b="0" i="0" u="none" strike="noStrike" baseline="0">
                        <a:solidFill>
                          <a:srgbClr val="000000"/>
                        </a:solidFill>
                        <a:latin typeface="Arial"/>
                        <a:cs typeface="Arial"/>
                      </a:rPr>
                      <a:t>C2</a:t>
                    </a:r>
                  </a:p>
                </xdr:txBody>
              </xdr:sp>
            </xdr:grpSp>
            <xdr:grpSp>
              <xdr:nvGrpSpPr>
                <xdr:cNvPr id="1053380" name="Group 474"/>
                <xdr:cNvGrpSpPr>
                  <a:grpSpLocks/>
                </xdr:cNvGrpSpPr>
              </xdr:nvGrpSpPr>
              <xdr:grpSpPr bwMode="auto">
                <a:xfrm>
                  <a:off x="766" y="1052"/>
                  <a:ext cx="79" cy="46"/>
                  <a:chOff x="241" y="1182"/>
                  <a:chExt cx="46" cy="41"/>
                </a:xfrm>
              </xdr:grpSpPr>
              <xdr:sp macro="" textlink="">
                <xdr:nvSpPr>
                  <xdr:cNvPr id="1053389" name="AutoShape 475"/>
                  <xdr:cNvSpPr>
                    <a:spLocks noChangeArrowheads="1"/>
                  </xdr:cNvSpPr>
                </xdr:nvSpPr>
                <xdr:spPr bwMode="auto">
                  <a:xfrm rot="-1570249">
                    <a:off x="241" y="1182"/>
                    <a:ext cx="46" cy="41"/>
                  </a:xfrm>
                  <a:prstGeom prst="notchedRightArrow">
                    <a:avLst>
                      <a:gd name="adj1" fmla="val 50000"/>
                      <a:gd name="adj2" fmla="val 28049"/>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9692" name="Text Box 476"/>
                  <xdr:cNvSpPr txBox="1">
                    <a:spLocks noChangeArrowheads="1"/>
                  </xdr:cNvSpPr>
                </xdr:nvSpPr>
                <xdr:spPr bwMode="auto">
                  <a:xfrm>
                    <a:off x="250" y="1194"/>
                    <a:ext cx="25" cy="1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ctr" rtl="0">
                      <a:defRPr sz="1000"/>
                    </a:pPr>
                    <a:r>
                      <a:rPr lang="it-IT" sz="800" b="0" i="0" u="none" strike="noStrike" baseline="0">
                        <a:solidFill>
                          <a:srgbClr val="000000"/>
                        </a:solidFill>
                        <a:latin typeface="Arial"/>
                        <a:cs typeface="Arial"/>
                      </a:rPr>
                      <a:t>V</a:t>
                    </a:r>
                    <a:r>
                      <a:rPr lang="it-IT" sz="800" b="0" i="0" u="none" strike="noStrike" baseline="-25000">
                        <a:solidFill>
                          <a:srgbClr val="000000"/>
                        </a:solidFill>
                        <a:latin typeface="Arial"/>
                        <a:cs typeface="Arial"/>
                      </a:rPr>
                      <a:t>m</a:t>
                    </a:r>
                  </a:p>
                </xdr:txBody>
              </xdr:sp>
            </xdr:grpSp>
            <xdr:grpSp>
              <xdr:nvGrpSpPr>
                <xdr:cNvPr id="1053381" name="Group 10577"/>
                <xdr:cNvGrpSpPr>
                  <a:grpSpLocks/>
                </xdr:cNvGrpSpPr>
              </xdr:nvGrpSpPr>
              <xdr:grpSpPr bwMode="auto">
                <a:xfrm>
                  <a:off x="916" y="1034"/>
                  <a:ext cx="176" cy="40"/>
                  <a:chOff x="820" y="1250"/>
                  <a:chExt cx="176" cy="40"/>
                </a:xfrm>
              </xdr:grpSpPr>
              <xdr:sp macro="" textlink="">
                <xdr:nvSpPr>
                  <xdr:cNvPr id="1053382" name="AutoShape 10565"/>
                  <xdr:cNvSpPr>
                    <a:spLocks noChangeArrowheads="1"/>
                  </xdr:cNvSpPr>
                </xdr:nvSpPr>
                <xdr:spPr bwMode="auto">
                  <a:xfrm rot="6331478">
                    <a:off x="896" y="1191"/>
                    <a:ext cx="23" cy="176"/>
                  </a:xfrm>
                  <a:prstGeom prst="can">
                    <a:avLst>
                      <a:gd name="adj" fmla="val 67523"/>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1053383" name="Oval 10566"/>
                  <xdr:cNvSpPr>
                    <a:spLocks noChangeArrowheads="1"/>
                  </xdr:cNvSpPr>
                </xdr:nvSpPr>
                <xdr:spPr bwMode="auto">
                  <a:xfrm>
                    <a:off x="844" y="1250"/>
                    <a:ext cx="12" cy="11"/>
                  </a:xfrm>
                  <a:prstGeom prst="ellipse">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1053384" name="Oval 10572"/>
                  <xdr:cNvSpPr>
                    <a:spLocks noChangeArrowheads="1"/>
                  </xdr:cNvSpPr>
                </xdr:nvSpPr>
                <xdr:spPr bwMode="auto">
                  <a:xfrm>
                    <a:off x="864" y="1255"/>
                    <a:ext cx="12" cy="11"/>
                  </a:xfrm>
                  <a:prstGeom prst="ellipse">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1053385" name="Oval 10573"/>
                  <xdr:cNvSpPr>
                    <a:spLocks noChangeArrowheads="1"/>
                  </xdr:cNvSpPr>
                </xdr:nvSpPr>
                <xdr:spPr bwMode="auto">
                  <a:xfrm>
                    <a:off x="882" y="1261"/>
                    <a:ext cx="12" cy="11"/>
                  </a:xfrm>
                  <a:prstGeom prst="ellipse">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1053386" name="Oval 10574"/>
                  <xdr:cNvSpPr>
                    <a:spLocks noChangeArrowheads="1"/>
                  </xdr:cNvSpPr>
                </xdr:nvSpPr>
                <xdr:spPr bwMode="auto">
                  <a:xfrm>
                    <a:off x="901" y="1266"/>
                    <a:ext cx="12" cy="11"/>
                  </a:xfrm>
                  <a:prstGeom prst="ellipse">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1053387" name="Oval 10575"/>
                  <xdr:cNvSpPr>
                    <a:spLocks noChangeArrowheads="1"/>
                  </xdr:cNvSpPr>
                </xdr:nvSpPr>
                <xdr:spPr bwMode="auto">
                  <a:xfrm>
                    <a:off x="924" y="1272"/>
                    <a:ext cx="12" cy="11"/>
                  </a:xfrm>
                  <a:prstGeom prst="ellipse">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1053388" name="Oval 10576"/>
                  <xdr:cNvSpPr>
                    <a:spLocks noChangeArrowheads="1"/>
                  </xdr:cNvSpPr>
                </xdr:nvSpPr>
                <xdr:spPr bwMode="auto">
                  <a:xfrm>
                    <a:off x="944" y="1277"/>
                    <a:ext cx="12" cy="11"/>
                  </a:xfrm>
                  <a:prstGeom prst="ellipse">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grpSp>
          </xdr:grpSp>
        </xdr:grpSp>
      </xdr:grpSp>
    </xdr:grpSp>
    <xdr:clientData/>
  </xdr:twoCellAnchor>
  <xdr:twoCellAnchor>
    <xdr:from>
      <xdr:col>5</xdr:col>
      <xdr:colOff>144780</xdr:colOff>
      <xdr:row>105</xdr:row>
      <xdr:rowOff>60960</xdr:rowOff>
    </xdr:from>
    <xdr:to>
      <xdr:col>7</xdr:col>
      <xdr:colOff>541020</xdr:colOff>
      <xdr:row>106</xdr:row>
      <xdr:rowOff>144780</xdr:rowOff>
    </xdr:to>
    <xdr:sp macro="" textlink="">
      <xdr:nvSpPr>
        <xdr:cNvPr id="1053357" name="AutoShape 11056"/>
        <xdr:cNvSpPr>
          <a:spLocks noChangeArrowheads="1"/>
        </xdr:cNvSpPr>
      </xdr:nvSpPr>
      <xdr:spPr bwMode="auto">
        <a:xfrm rot="10800000">
          <a:off x="4610100" y="19362420"/>
          <a:ext cx="1752600" cy="236220"/>
        </a:xfrm>
        <a:prstGeom prst="triangle">
          <a:avLst>
            <a:gd name="adj" fmla="val 50000"/>
          </a:avLst>
        </a:prstGeom>
        <a:solidFill>
          <a:srgbClr xmlns:mc="http://schemas.openxmlformats.org/markup-compatibility/2006" xmlns:a14="http://schemas.microsoft.com/office/drawing/2010/main" val="99CC00" mc:Ignorable="a14" a14:legacySpreadsheetColorIndex="50"/>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0</xdr:colOff>
      <xdr:row>30</xdr:row>
      <xdr:rowOff>0</xdr:rowOff>
    </xdr:from>
    <xdr:to>
      <xdr:col>11</xdr:col>
      <xdr:colOff>335280</xdr:colOff>
      <xdr:row>30</xdr:row>
      <xdr:rowOff>7620</xdr:rowOff>
    </xdr:to>
    <xdr:sp macro="" textlink="">
      <xdr:nvSpPr>
        <xdr:cNvPr id="1053358" name="Line 11057"/>
        <xdr:cNvSpPr>
          <a:spLocks noChangeShapeType="1"/>
        </xdr:cNvSpPr>
      </xdr:nvSpPr>
      <xdr:spPr bwMode="auto">
        <a:xfrm>
          <a:off x="594360" y="4922520"/>
          <a:ext cx="8732520" cy="7620"/>
        </a:xfrm>
        <a:prstGeom prst="line">
          <a:avLst/>
        </a:prstGeom>
        <a:noFill/>
        <a:ln w="25400">
          <a:solidFill>
            <a:srgbClr xmlns:mc="http://schemas.openxmlformats.org/markup-compatibility/2006" xmlns:a14="http://schemas.microsoft.com/office/drawing/2010/main" val="99CC00" mc:Ignorable="a14" a14:legacySpreadsheetColorIndex="5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70</xdr:row>
      <xdr:rowOff>434340</xdr:rowOff>
    </xdr:from>
    <xdr:to>
      <xdr:col>11</xdr:col>
      <xdr:colOff>335280</xdr:colOff>
      <xdr:row>71</xdr:row>
      <xdr:rowOff>0</xdr:rowOff>
    </xdr:to>
    <xdr:sp macro="" textlink="">
      <xdr:nvSpPr>
        <xdr:cNvPr id="1053359" name="Line 11058"/>
        <xdr:cNvSpPr>
          <a:spLocks noChangeShapeType="1"/>
        </xdr:cNvSpPr>
      </xdr:nvSpPr>
      <xdr:spPr bwMode="auto">
        <a:xfrm>
          <a:off x="594360" y="12809220"/>
          <a:ext cx="8732520" cy="0"/>
        </a:xfrm>
        <a:prstGeom prst="line">
          <a:avLst/>
        </a:prstGeom>
        <a:noFill/>
        <a:ln w="25400">
          <a:solidFill>
            <a:srgbClr xmlns:mc="http://schemas.openxmlformats.org/markup-compatibility/2006" xmlns:a14="http://schemas.microsoft.com/office/drawing/2010/main" val="99CC00" mc:Ignorable="a14" a14:legacySpreadsheetColorIndex="5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89</xdr:row>
      <xdr:rowOff>0</xdr:rowOff>
    </xdr:from>
    <xdr:to>
      <xdr:col>11</xdr:col>
      <xdr:colOff>335280</xdr:colOff>
      <xdr:row>89</xdr:row>
      <xdr:rowOff>7620</xdr:rowOff>
    </xdr:to>
    <xdr:sp macro="" textlink="">
      <xdr:nvSpPr>
        <xdr:cNvPr id="1053360" name="Line 11059"/>
        <xdr:cNvSpPr>
          <a:spLocks noChangeShapeType="1"/>
        </xdr:cNvSpPr>
      </xdr:nvSpPr>
      <xdr:spPr bwMode="auto">
        <a:xfrm>
          <a:off x="594360" y="16108680"/>
          <a:ext cx="8732520" cy="7620"/>
        </a:xfrm>
        <a:prstGeom prst="line">
          <a:avLst/>
        </a:prstGeom>
        <a:noFill/>
        <a:ln w="25400">
          <a:solidFill>
            <a:srgbClr xmlns:mc="http://schemas.openxmlformats.org/markup-compatibility/2006" xmlns:a14="http://schemas.microsoft.com/office/drawing/2010/main" val="99CC00" mc:Ignorable="a14" a14:legacySpreadsheetColorIndex="5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0</xdr:col>
      <xdr:colOff>426720</xdr:colOff>
      <xdr:row>0</xdr:row>
      <xdr:rowOff>129540</xdr:rowOff>
    </xdr:from>
    <xdr:to>
      <xdr:col>10</xdr:col>
      <xdr:colOff>106680</xdr:colOff>
      <xdr:row>16</xdr:row>
      <xdr:rowOff>114300</xdr:rowOff>
    </xdr:to>
    <xdr:pic>
      <xdr:nvPicPr>
        <xdr:cNvPr id="1053361" name="Picture 11270" descr="cop_humiTOOLS_psicrometrico"/>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26720" y="129540"/>
          <a:ext cx="8031480" cy="3642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518160</xdr:colOff>
      <xdr:row>0</xdr:row>
      <xdr:rowOff>129540</xdr:rowOff>
    </xdr:from>
    <xdr:to>
      <xdr:col>13</xdr:col>
      <xdr:colOff>472440</xdr:colOff>
      <xdr:row>3</xdr:row>
      <xdr:rowOff>60960</xdr:rowOff>
    </xdr:to>
    <xdr:pic>
      <xdr:nvPicPr>
        <xdr:cNvPr id="1053362" name="Picture 11271" descr="logo_CAREL_grigio"/>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869680" y="129540"/>
          <a:ext cx="1844040" cy="617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113</xdr:row>
      <xdr:rowOff>45720</xdr:rowOff>
    </xdr:from>
    <xdr:to>
      <xdr:col>11</xdr:col>
      <xdr:colOff>533400</xdr:colOff>
      <xdr:row>113</xdr:row>
      <xdr:rowOff>45720</xdr:rowOff>
    </xdr:to>
    <xdr:sp macro="" textlink="">
      <xdr:nvSpPr>
        <xdr:cNvPr id="1053363" name="Line 11059"/>
        <xdr:cNvSpPr>
          <a:spLocks noChangeShapeType="1"/>
        </xdr:cNvSpPr>
      </xdr:nvSpPr>
      <xdr:spPr bwMode="auto">
        <a:xfrm>
          <a:off x="792480" y="20474940"/>
          <a:ext cx="8732520" cy="0"/>
        </a:xfrm>
        <a:prstGeom prst="line">
          <a:avLst/>
        </a:prstGeom>
        <a:noFill/>
        <a:ln w="25400">
          <a:solidFill>
            <a:srgbClr xmlns:mc="http://schemas.openxmlformats.org/markup-compatibility/2006" xmlns:a14="http://schemas.microsoft.com/office/drawing/2010/main" val="99CC00" mc:Ignorable="a14" a14:legacySpreadsheetColorIndex="5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30480</xdr:colOff>
      <xdr:row>0</xdr:row>
      <xdr:rowOff>91440</xdr:rowOff>
    </xdr:from>
    <xdr:to>
      <xdr:col>11</xdr:col>
      <xdr:colOff>228600</xdr:colOff>
      <xdr:row>2</xdr:row>
      <xdr:rowOff>114300</xdr:rowOff>
    </xdr:to>
    <xdr:pic>
      <xdr:nvPicPr>
        <xdr:cNvPr id="749927" name="Immagin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080" y="91440"/>
          <a:ext cx="10180320" cy="822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57150</xdr:colOff>
          <xdr:row>26</xdr:row>
          <xdr:rowOff>123825</xdr:rowOff>
        </xdr:from>
        <xdr:to>
          <xdr:col>5</xdr:col>
          <xdr:colOff>209550</xdr:colOff>
          <xdr:row>28</xdr:row>
          <xdr:rowOff>47625</xdr:rowOff>
        </xdr:to>
        <xdr:sp macro="" textlink="">
          <xdr:nvSpPr>
            <xdr:cNvPr id="34276" name="CheckBox1" hidden="1">
              <a:extLst>
                <a:ext uri="{63B3BB69-23CF-44E3-9099-C40C66FF867C}">
                  <a14:compatExt spid="_x0000_s34276"/>
                </a:ext>
              </a:extLst>
            </xdr:cNvPr>
            <xdr:cNvSpPr/>
          </xdr:nvSpPr>
          <xdr:spPr>
            <a:xfrm>
              <a:off x="0" y="0"/>
              <a:ext cx="0" cy="0"/>
            </a:xfrm>
            <a:prstGeom prst="rect">
              <a:avLst/>
            </a:prstGeom>
          </xdr:spPr>
        </xdr:sp>
        <xdr:clientData/>
      </xdr:twoCellAnchor>
    </mc:Choice>
    <mc:Fallback/>
  </mc:AlternateContent>
  <xdr:twoCellAnchor editAs="oneCell">
    <xdr:from>
      <xdr:col>1</xdr:col>
      <xdr:colOff>106680</xdr:colOff>
      <xdr:row>0</xdr:row>
      <xdr:rowOff>60960</xdr:rowOff>
    </xdr:from>
    <xdr:to>
      <xdr:col>5</xdr:col>
      <xdr:colOff>1127760</xdr:colOff>
      <xdr:row>1</xdr:row>
      <xdr:rowOff>365760</xdr:rowOff>
    </xdr:to>
    <xdr:pic>
      <xdr:nvPicPr>
        <xdr:cNvPr id="935035" name="Immagin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140" y="60960"/>
          <a:ext cx="8961120" cy="739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259080</xdr:colOff>
      <xdr:row>3</xdr:row>
      <xdr:rowOff>0</xdr:rowOff>
    </xdr:from>
    <xdr:to>
      <xdr:col>15</xdr:col>
      <xdr:colOff>510540</xdr:colOff>
      <xdr:row>3</xdr:row>
      <xdr:rowOff>0</xdr:rowOff>
    </xdr:to>
    <xdr:sp macro="" textlink="">
      <xdr:nvSpPr>
        <xdr:cNvPr id="578462" name="Line 2"/>
        <xdr:cNvSpPr>
          <a:spLocks noChangeShapeType="1"/>
        </xdr:cNvSpPr>
      </xdr:nvSpPr>
      <xdr:spPr bwMode="auto">
        <a:xfrm>
          <a:off x="259080" y="967740"/>
          <a:ext cx="11407140" cy="0"/>
        </a:xfrm>
        <a:prstGeom prst="line">
          <a:avLst/>
        </a:prstGeom>
        <a:noFill/>
        <a:ln w="25400">
          <a:solidFill>
            <a:srgbClr xmlns:mc="http://schemas.openxmlformats.org/markup-compatibility/2006" xmlns:a14="http://schemas.microsoft.com/office/drawing/2010/main" val="99CC00" mc:Ignorable="a14" a14:legacySpreadsheetColorIndex="5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12</xdr:col>
      <xdr:colOff>2529840</xdr:colOff>
      <xdr:row>0</xdr:row>
      <xdr:rowOff>68580</xdr:rowOff>
    </xdr:from>
    <xdr:to>
      <xdr:col>15</xdr:col>
      <xdr:colOff>518160</xdr:colOff>
      <xdr:row>0</xdr:row>
      <xdr:rowOff>571500</xdr:rowOff>
    </xdr:to>
    <xdr:pic>
      <xdr:nvPicPr>
        <xdr:cNvPr id="578463" name="Picture 10" descr="logo_CAREL_grigi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41280" y="68580"/>
          <a:ext cx="143256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1981200</xdr:colOff>
      <xdr:row>0</xdr:row>
      <xdr:rowOff>175260</xdr:rowOff>
    </xdr:from>
    <xdr:to>
      <xdr:col>1</xdr:col>
      <xdr:colOff>10835640</xdr:colOff>
      <xdr:row>1</xdr:row>
      <xdr:rowOff>579120</xdr:rowOff>
    </xdr:to>
    <xdr:pic>
      <xdr:nvPicPr>
        <xdr:cNvPr id="769299" name="Immagin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2200" y="175260"/>
          <a:ext cx="885444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259080</xdr:colOff>
      <xdr:row>3</xdr:row>
      <xdr:rowOff>0</xdr:rowOff>
    </xdr:from>
    <xdr:to>
      <xdr:col>15</xdr:col>
      <xdr:colOff>510540</xdr:colOff>
      <xdr:row>3</xdr:row>
      <xdr:rowOff>0</xdr:rowOff>
    </xdr:to>
    <xdr:sp macro="" textlink="">
      <xdr:nvSpPr>
        <xdr:cNvPr id="591735" name="Line 2"/>
        <xdr:cNvSpPr>
          <a:spLocks noChangeShapeType="1"/>
        </xdr:cNvSpPr>
      </xdr:nvSpPr>
      <xdr:spPr bwMode="auto">
        <a:xfrm>
          <a:off x="259080" y="967740"/>
          <a:ext cx="11407140" cy="0"/>
        </a:xfrm>
        <a:prstGeom prst="line">
          <a:avLst/>
        </a:prstGeom>
        <a:noFill/>
        <a:ln w="25400">
          <a:solidFill>
            <a:srgbClr xmlns:mc="http://schemas.openxmlformats.org/markup-compatibility/2006" xmlns:a14="http://schemas.microsoft.com/office/drawing/2010/main" val="99CC00" mc:Ignorable="a14" a14:legacySpreadsheetColorIndex="5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12</xdr:col>
      <xdr:colOff>2529840</xdr:colOff>
      <xdr:row>0</xdr:row>
      <xdr:rowOff>68580</xdr:rowOff>
    </xdr:from>
    <xdr:to>
      <xdr:col>15</xdr:col>
      <xdr:colOff>518160</xdr:colOff>
      <xdr:row>0</xdr:row>
      <xdr:rowOff>571500</xdr:rowOff>
    </xdr:to>
    <xdr:pic>
      <xdr:nvPicPr>
        <xdr:cNvPr id="591736" name="Picture 10" descr="logo_CAREL_grigi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41280" y="68580"/>
          <a:ext cx="143256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backup\trasf\DATI\Foglio%20di%20calcolo%20humiFog\Fogli\Versione%203\humiFog%20DUCT%20ML%203.2%20IT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IGN"/>
      <sheetName val="GRAFICI"/>
      <sheetName val="BILL_OF_MATERIAL"/>
      <sheetName val="SELECTION"/>
      <sheetName val="LINGUA"/>
      <sheetName val="OFFER"/>
    </sheetNames>
    <sheetDataSet>
      <sheetData sheetId="0">
        <row r="21">
          <cell r="Y21">
            <v>1</v>
          </cell>
          <cell r="Z21">
            <v>2</v>
          </cell>
        </row>
        <row r="78">
          <cell r="M78">
            <v>1</v>
          </cell>
        </row>
        <row r="79">
          <cell r="M79">
            <v>2</v>
          </cell>
        </row>
        <row r="80">
          <cell r="M80">
            <v>3</v>
          </cell>
        </row>
        <row r="81">
          <cell r="M81">
            <v>4</v>
          </cell>
        </row>
        <row r="94">
          <cell r="F94" t="str">
            <v>100</v>
          </cell>
        </row>
        <row r="95">
          <cell r="F95" t="str">
            <v>110</v>
          </cell>
        </row>
        <row r="96">
          <cell r="F96" t="str">
            <v>101</v>
          </cell>
        </row>
        <row r="97">
          <cell r="F97" t="str">
            <v>111</v>
          </cell>
        </row>
      </sheetData>
      <sheetData sheetId="1"/>
      <sheetData sheetId="2"/>
      <sheetData sheetId="3"/>
      <sheetData sheetId="4"/>
      <sheetData sheetId="5"/>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5.bin"/><Relationship Id="rId5" Type="http://schemas.openxmlformats.org/officeDocument/2006/relationships/image" Target="../media/image4.emf"/></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4.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3" enableFormatConditionsCalculation="0">
    <tabColor indexed="22"/>
    <pageSetUpPr fitToPage="1"/>
  </sheetPr>
  <dimension ref="A1:F457"/>
  <sheetViews>
    <sheetView zoomScale="85" zoomScaleNormal="85" workbookViewId="0">
      <pane ySplit="5" topLeftCell="A417" activePane="bottomLeft" state="frozen"/>
      <selection pane="bottomLeft" activeCell="D448" sqref="D448"/>
    </sheetView>
  </sheetViews>
  <sheetFormatPr defaultColWidth="8.85546875" defaultRowHeight="12.75" x14ac:dyDescent="0.2"/>
  <cols>
    <col min="1" max="1" width="6.7109375" style="54" customWidth="1"/>
    <col min="2" max="2" width="19.85546875" style="41" customWidth="1"/>
    <col min="3" max="3" width="85.28515625" style="41" customWidth="1"/>
    <col min="4" max="4" width="19.140625" style="21" customWidth="1"/>
    <col min="5" max="5" width="14.85546875" style="21" customWidth="1"/>
    <col min="6" max="6" width="10.85546875" style="21" bestFit="1" customWidth="1"/>
    <col min="7" max="16384" width="8.85546875" style="21"/>
  </cols>
  <sheetData>
    <row r="1" spans="1:6" ht="15" x14ac:dyDescent="0.2">
      <c r="A1" s="53"/>
      <c r="B1" s="641" t="s">
        <v>3174</v>
      </c>
      <c r="C1" s="40"/>
    </row>
    <row r="2" spans="1:6" ht="15" x14ac:dyDescent="0.2">
      <c r="A2" s="53"/>
      <c r="B2" s="642" t="s">
        <v>2720</v>
      </c>
      <c r="C2" s="40"/>
      <c r="D2" s="106" t="s">
        <v>1539</v>
      </c>
    </row>
    <row r="3" spans="1:6" ht="15" x14ac:dyDescent="0.2">
      <c r="A3" s="53"/>
      <c r="B3" s="642" t="s">
        <v>3173</v>
      </c>
      <c r="C3" s="643"/>
      <c r="D3" s="106" t="s">
        <v>3517</v>
      </c>
    </row>
    <row r="4" spans="1:6" ht="15" x14ac:dyDescent="0.2">
      <c r="A4" s="53"/>
      <c r="B4" s="40"/>
      <c r="C4" s="40"/>
    </row>
    <row r="5" spans="1:6" x14ac:dyDescent="0.2">
      <c r="B5" s="55" t="s">
        <v>934</v>
      </c>
      <c r="C5" s="55" t="s">
        <v>2051</v>
      </c>
      <c r="D5" s="651" t="s">
        <v>3176</v>
      </c>
      <c r="F5" s="106" t="s">
        <v>3533</v>
      </c>
    </row>
    <row r="6" spans="1:6" x14ac:dyDescent="0.2">
      <c r="A6" s="54">
        <v>1</v>
      </c>
      <c r="B6" s="56" t="s">
        <v>245</v>
      </c>
      <c r="C6" s="56" t="str">
        <f>VLOOKUP(B6,LINGUA!$B:$H,2,0)</f>
        <v>Stainless steel steam distributor, inlet  Ø=22 mm, l = 350 mm</v>
      </c>
      <c r="D6" s="644">
        <v>74.599999999999994</v>
      </c>
      <c r="E6" s="595"/>
      <c r="F6" s="648">
        <f>IF(SELECTION!$C$46="Eur",CODICI!D6,CODICI!D6*SELECTION!$C$48)</f>
        <v>74.599999999999994</v>
      </c>
    </row>
    <row r="7" spans="1:6" x14ac:dyDescent="0.2">
      <c r="A7" s="54">
        <f>+A6+1</f>
        <v>2</v>
      </c>
      <c r="B7" s="56" t="s">
        <v>246</v>
      </c>
      <c r="C7" s="56" t="str">
        <f>VLOOKUP(B7,LINGUA!$B:$H,2,0)</f>
        <v>Stainless steel steam distributor, inlet  Ø=22 mm, l = 450 mm</v>
      </c>
      <c r="D7" s="644">
        <v>85.1</v>
      </c>
      <c r="E7" s="595"/>
      <c r="F7" s="648">
        <f>IF(SELECTION!$C$46="Eur",CODICI!D7,CODICI!D7*SELECTION!$C$48)</f>
        <v>85.1</v>
      </c>
    </row>
    <row r="8" spans="1:6" x14ac:dyDescent="0.2">
      <c r="A8" s="54">
        <f t="shared" ref="A8:A71" si="0">+A7+1</f>
        <v>3</v>
      </c>
      <c r="B8" s="56" t="s">
        <v>247</v>
      </c>
      <c r="C8" s="56" t="str">
        <f>VLOOKUP(B8,LINGUA!$B:$H,2,0)</f>
        <v>Stainless steel steam distributor, inlet  Ø=22 mm, l = 600 mm</v>
      </c>
      <c r="D8" s="644">
        <v>92.5</v>
      </c>
      <c r="E8" s="595"/>
      <c r="F8" s="648">
        <f>IF(SELECTION!$C$46="Eur",CODICI!D8,CODICI!D8*SELECTION!$C$48)</f>
        <v>92.5</v>
      </c>
    </row>
    <row r="9" spans="1:6" x14ac:dyDescent="0.2">
      <c r="A9" s="54">
        <f t="shared" si="0"/>
        <v>4</v>
      </c>
      <c r="B9" s="56" t="s">
        <v>248</v>
      </c>
      <c r="C9" s="56" t="str">
        <f>VLOOKUP(B9,LINGUA!$B:$H,2,0)</f>
        <v>Stainless steel steam distributor, inlet  Ø=22 mm, l = 850 mm</v>
      </c>
      <c r="D9" s="644">
        <v>114.5</v>
      </c>
      <c r="E9" s="595"/>
      <c r="F9" s="648">
        <f>IF(SELECTION!$C$46="Eur",CODICI!D9,CODICI!D9*SELECTION!$C$48)</f>
        <v>114.5</v>
      </c>
    </row>
    <row r="10" spans="1:6" x14ac:dyDescent="0.2">
      <c r="A10" s="54">
        <f t="shared" si="0"/>
        <v>5</v>
      </c>
      <c r="B10" s="56" t="s">
        <v>249</v>
      </c>
      <c r="C10" s="56" t="str">
        <f>VLOOKUP(B10,LINGUA!$B:$H,2,0)</f>
        <v>Stainless steel steam distributor, inlet  Ø=30 mm, l = 350 mm</v>
      </c>
      <c r="D10" s="644">
        <v>85.1</v>
      </c>
      <c r="E10" s="595"/>
      <c r="F10" s="648">
        <f>IF(SELECTION!$C$46="Eur",CODICI!D10,CODICI!D10*SELECTION!$C$48)</f>
        <v>85.1</v>
      </c>
    </row>
    <row r="11" spans="1:6" x14ac:dyDescent="0.2">
      <c r="A11" s="54">
        <f t="shared" si="0"/>
        <v>6</v>
      </c>
      <c r="B11" s="56" t="s">
        <v>250</v>
      </c>
      <c r="C11" s="56" t="str">
        <f>VLOOKUP(B11,LINGUA!$B:$H,2,0)</f>
        <v>Stainless steel steam distributor, inlet  Ø=30 mm, l = 450 mm</v>
      </c>
      <c r="D11" s="644">
        <v>103</v>
      </c>
      <c r="E11" s="595"/>
      <c r="F11" s="648">
        <f>IF(SELECTION!$C$46="Eur",CODICI!D11,CODICI!D11*SELECTION!$C$48)</f>
        <v>103</v>
      </c>
    </row>
    <row r="12" spans="1:6" x14ac:dyDescent="0.2">
      <c r="A12" s="54">
        <f t="shared" si="0"/>
        <v>7</v>
      </c>
      <c r="B12" s="56" t="s">
        <v>251</v>
      </c>
      <c r="C12" s="56" t="str">
        <f>VLOOKUP(B12,LINGUA!$B:$H,2,0)</f>
        <v>Stainless steel steam distributor, inlet  Ø=30 mm, l = 600 mm</v>
      </c>
      <c r="D12" s="644">
        <v>114.5</v>
      </c>
      <c r="E12" s="595"/>
      <c r="F12" s="648">
        <f>IF(SELECTION!$C$46="Eur",CODICI!D12,CODICI!D12*SELECTION!$C$48)</f>
        <v>114.5</v>
      </c>
    </row>
    <row r="13" spans="1:6" x14ac:dyDescent="0.2">
      <c r="A13" s="54">
        <f t="shared" si="0"/>
        <v>8</v>
      </c>
      <c r="B13" s="56" t="s">
        <v>252</v>
      </c>
      <c r="C13" s="56" t="str">
        <f>VLOOKUP(B13,LINGUA!$B:$H,2,0)</f>
        <v>Stainless steel steam distributor, inlet  Ø=30 mm, l = 850 mm</v>
      </c>
      <c r="D13" s="644">
        <v>140.80000000000001</v>
      </c>
      <c r="E13" s="595"/>
      <c r="F13" s="648">
        <f>IF(SELECTION!$C$46="Eur",CODICI!D13,CODICI!D13*SELECTION!$C$48)</f>
        <v>140.80000000000001</v>
      </c>
    </row>
    <row r="14" spans="1:6" x14ac:dyDescent="0.2">
      <c r="A14" s="54">
        <f t="shared" si="0"/>
        <v>9</v>
      </c>
      <c r="B14" s="56" t="s">
        <v>253</v>
      </c>
      <c r="C14" s="56" t="str">
        <f>VLOOKUP(B14,LINGUA!$B:$H,2,0)</f>
        <v>Stainless steel steam distributor, inlet  Ø=30 mm, l = 1,050 mm</v>
      </c>
      <c r="D14" s="644">
        <v>152.30000000000001</v>
      </c>
      <c r="E14" s="595"/>
      <c r="F14" s="648">
        <f>IF(SELECTION!$C$46="Eur",CODICI!D14,CODICI!D14*SELECTION!$C$48)</f>
        <v>152.30000000000001</v>
      </c>
    </row>
    <row r="15" spans="1:6" x14ac:dyDescent="0.2">
      <c r="A15" s="54">
        <f t="shared" si="0"/>
        <v>10</v>
      </c>
      <c r="B15" s="56" t="s">
        <v>254</v>
      </c>
      <c r="C15" s="56" t="str">
        <f>VLOOKUP(B15,LINGUA!$B:$H,2,0)</f>
        <v>Stainless steel steam distributor, inlet  Ø=30 mm, l = 1,250 mm</v>
      </c>
      <c r="D15" s="644">
        <v>157.6</v>
      </c>
      <c r="E15" s="595"/>
      <c r="F15" s="648">
        <f>IF(SELECTION!$C$46="Eur",CODICI!D15,CODICI!D15*SELECTION!$C$48)</f>
        <v>157.6</v>
      </c>
    </row>
    <row r="16" spans="1:6" x14ac:dyDescent="0.2">
      <c r="A16" s="54">
        <f t="shared" si="0"/>
        <v>11</v>
      </c>
      <c r="B16" s="56" t="s">
        <v>1219</v>
      </c>
      <c r="C16" s="56" t="str">
        <f>VLOOKUP(B16,LINGUA!$B:$H,2,0)</f>
        <v>Stainless steel steam distributor, inlet  Ø=30 mm, l = 1.650 mm</v>
      </c>
      <c r="D16" s="644">
        <v>162.80000000000001</v>
      </c>
      <c r="E16" s="595"/>
      <c r="F16" s="648">
        <f>IF(SELECTION!$C$46="Eur",CODICI!D16,CODICI!D16*SELECTION!$C$48)</f>
        <v>162.80000000000001</v>
      </c>
    </row>
    <row r="17" spans="1:6" x14ac:dyDescent="0.2">
      <c r="A17" s="54">
        <f t="shared" si="0"/>
        <v>12</v>
      </c>
      <c r="B17" s="56" t="s">
        <v>255</v>
      </c>
      <c r="C17" s="56" t="str">
        <f>VLOOKUP(B17,LINGUA!$B:$H,2,0)</f>
        <v>Stainless steel steam distributor, inlet  Ø=40 mm, l = 850 mm</v>
      </c>
      <c r="D17" s="644">
        <v>200.6</v>
      </c>
      <c r="E17" s="595"/>
      <c r="F17" s="648">
        <f>IF(SELECTION!$C$46="Eur",CODICI!D17,CODICI!D17*SELECTION!$C$48)</f>
        <v>200.6</v>
      </c>
    </row>
    <row r="18" spans="1:6" x14ac:dyDescent="0.2">
      <c r="A18" s="54">
        <f t="shared" si="0"/>
        <v>13</v>
      </c>
      <c r="B18" s="56" t="s">
        <v>256</v>
      </c>
      <c r="C18" s="56" t="str">
        <f>VLOOKUP(B18,LINGUA!$B:$H,2,0)</f>
        <v>Stainless steel steam distributor, inlet  Ø=40 mm, l = 1,050 mm</v>
      </c>
      <c r="D18" s="644">
        <v>216.4</v>
      </c>
      <c r="E18" s="595"/>
      <c r="F18" s="648">
        <f>IF(SELECTION!$C$46="Eur",CODICI!D18,CODICI!D18*SELECTION!$C$48)</f>
        <v>216.4</v>
      </c>
    </row>
    <row r="19" spans="1:6" x14ac:dyDescent="0.2">
      <c r="A19" s="54">
        <f t="shared" si="0"/>
        <v>14</v>
      </c>
      <c r="B19" s="56" t="s">
        <v>257</v>
      </c>
      <c r="C19" s="56" t="str">
        <f>VLOOKUP(B19,LINGUA!$B:$H,2,0)</f>
        <v>Stainless steel steam distributor, inlet  Ø=40 mm, l = 1,250 mm</v>
      </c>
      <c r="D19" s="644">
        <v>227.9</v>
      </c>
      <c r="E19" s="595"/>
      <c r="F19" s="648">
        <f>IF(SELECTION!$C$46="Eur",CODICI!D19,CODICI!D19*SELECTION!$C$48)</f>
        <v>227.9</v>
      </c>
    </row>
    <row r="20" spans="1:6" x14ac:dyDescent="0.2">
      <c r="A20" s="54">
        <f t="shared" si="0"/>
        <v>15</v>
      </c>
      <c r="B20" s="56" t="s">
        <v>244</v>
      </c>
      <c r="C20" s="56" t="str">
        <f>VLOOKUP(B20,LINGUA!$B:$H,2,0)</f>
        <v>Stainless steel steam distributor, inlet  Ø=40 mm, l = 1,650 mm</v>
      </c>
      <c r="D20" s="644">
        <v>271.10000000000002</v>
      </c>
      <c r="E20" s="595"/>
      <c r="F20" s="648">
        <f>IF(SELECTION!$C$46="Eur",CODICI!D20,CODICI!D20*SELECTION!$C$48)</f>
        <v>271.10000000000002</v>
      </c>
    </row>
    <row r="21" spans="1:6" x14ac:dyDescent="0.2">
      <c r="A21" s="54">
        <f t="shared" si="0"/>
        <v>16</v>
      </c>
      <c r="B21" s="56" t="s">
        <v>243</v>
      </c>
      <c r="C21" s="56" t="str">
        <f>VLOOKUP(B21,LINGUA!$B:$H,2,0)</f>
        <v>Stainless steel steam distributor, inlet  Ø=40 mm, l = 2,050 mm</v>
      </c>
      <c r="D21" s="644">
        <v>324.7</v>
      </c>
      <c r="E21" s="595"/>
      <c r="F21" s="648">
        <f>IF(SELECTION!$C$46="Eur",CODICI!D21,CODICI!D21*SELECTION!$C$48)</f>
        <v>324.7</v>
      </c>
    </row>
    <row r="22" spans="1:6" x14ac:dyDescent="0.2">
      <c r="A22" s="54">
        <f t="shared" si="0"/>
        <v>17</v>
      </c>
      <c r="B22" s="56" t="s">
        <v>1215</v>
      </c>
      <c r="C22" s="56" t="str">
        <f>VLOOKUP(B22,LINGUA!$B:$H,2,0)</f>
        <v>Stainless steel steam distributor, inlet Ø=22 mm, l = 300 mm</v>
      </c>
      <c r="D22" s="644">
        <v>74.599999999999994</v>
      </c>
      <c r="E22" s="595"/>
      <c r="F22" s="648">
        <f>IF(SELECTION!$C$46="Eur",CODICI!D22,CODICI!D22*SELECTION!$C$48)</f>
        <v>74.599999999999994</v>
      </c>
    </row>
    <row r="23" spans="1:6" x14ac:dyDescent="0.2">
      <c r="A23" s="54">
        <f t="shared" si="0"/>
        <v>18</v>
      </c>
      <c r="B23" s="56" t="s">
        <v>1216</v>
      </c>
      <c r="C23" s="56" t="str">
        <f>VLOOKUP(B23,LINGUA!$B:$H,2,0)</f>
        <v>Stainless steel steam distributor, inlet  Ø=30 mm, l = 300 mm</v>
      </c>
      <c r="D23" s="644">
        <v>85.1</v>
      </c>
      <c r="E23" s="595"/>
      <c r="F23" s="648">
        <f>IF(SELECTION!$C$46="Eur",CODICI!D23,CODICI!D23*SELECTION!$C$48)</f>
        <v>85.1</v>
      </c>
    </row>
    <row r="24" spans="1:6" x14ac:dyDescent="0.2">
      <c r="A24" s="54">
        <f t="shared" si="0"/>
        <v>19</v>
      </c>
      <c r="B24" s="56" t="s">
        <v>1217</v>
      </c>
      <c r="C24" s="56" t="str">
        <f>VLOOKUP(B24,LINGUA!$B:$H,2,0)</f>
        <v>Stainless steel steam distributor, inlet  Ø=30 mm, l = 450 mm</v>
      </c>
      <c r="D24" s="644">
        <v>103</v>
      </c>
      <c r="E24" s="595"/>
      <c r="F24" s="648">
        <f>IF(SELECTION!$C$46="Eur",CODICI!D24,CODICI!D24*SELECTION!$C$48)</f>
        <v>103</v>
      </c>
    </row>
    <row r="25" spans="1:6" x14ac:dyDescent="0.2">
      <c r="A25" s="54">
        <f t="shared" si="0"/>
        <v>20</v>
      </c>
      <c r="B25" s="56" t="s">
        <v>1218</v>
      </c>
      <c r="C25" s="56" t="str">
        <f>VLOOKUP(B25,LINGUA!$B:$H,2,0)</f>
        <v>Stainless steel steam distributor, inlet  Ø=30 mm, l = 600 mm</v>
      </c>
      <c r="D25" s="644">
        <v>114.5</v>
      </c>
      <c r="E25" s="595"/>
      <c r="F25" s="648">
        <f>IF(SELECTION!$C$46="Eur",CODICI!D25,CODICI!D25*SELECTION!$C$48)</f>
        <v>114.5</v>
      </c>
    </row>
    <row r="26" spans="1:6" x14ac:dyDescent="0.2">
      <c r="A26" s="54">
        <f t="shared" si="0"/>
        <v>21</v>
      </c>
      <c r="B26" s="56" t="s">
        <v>1220</v>
      </c>
      <c r="C26" s="56" t="str">
        <f>VLOOKUP(B26,LINGUA!$B:$H,2,0)</f>
        <v>Stainless steel steam distributor, inlet  Ø=40 mm, l = 600 mm</v>
      </c>
      <c r="D26" s="644">
        <v>162.80000000000001</v>
      </c>
      <c r="E26" s="595"/>
      <c r="F26" s="648">
        <f>IF(SELECTION!$C$46="Eur",CODICI!D26,CODICI!D26*SELECTION!$C$48)</f>
        <v>162.80000000000001</v>
      </c>
    </row>
    <row r="27" spans="1:6" x14ac:dyDescent="0.2">
      <c r="A27" s="54">
        <f t="shared" si="0"/>
        <v>22</v>
      </c>
      <c r="B27" s="56" t="s">
        <v>1407</v>
      </c>
      <c r="C27" s="56" t="str">
        <f>VLOOKUP(B27,LINGUA!$B:$H,2,0)</f>
        <v>SDP OEM: steam injection nozzle up to 3 kg/h</v>
      </c>
      <c r="D27" s="644">
        <v>32.5</v>
      </c>
      <c r="E27" s="595"/>
      <c r="F27" s="648">
        <f>IF(SELECTION!$C$46="Eur",CODICI!D27,CODICI!D27*SELECTION!$C$48)</f>
        <v>32.5</v>
      </c>
    </row>
    <row r="28" spans="1:6" x14ac:dyDescent="0.2">
      <c r="A28" s="54">
        <f t="shared" si="0"/>
        <v>23</v>
      </c>
      <c r="B28" s="56" t="s">
        <v>1409</v>
      </c>
      <c r="C28" s="56" t="str">
        <f>VLOOKUP(B28,LINGUA!$B:$H,2,0)</f>
        <v>SDP OEM: steam injection nozzle from 3 to 15 kg/h</v>
      </c>
      <c r="D28" s="644">
        <v>32.5</v>
      </c>
      <c r="E28" s="595"/>
      <c r="F28" s="648">
        <f>IF(SELECTION!$C$46="Eur",CODICI!D28,CODICI!D28*SELECTION!$C$48)</f>
        <v>32.5</v>
      </c>
    </row>
    <row r="29" spans="1:6" x14ac:dyDescent="0.2">
      <c r="A29" s="54">
        <f t="shared" si="0"/>
        <v>24</v>
      </c>
      <c r="B29" s="56" t="s">
        <v>1405</v>
      </c>
      <c r="C29" s="56" t="str">
        <f>VLOOKUP(B29,LINGUA!$B:$H,2,0)</f>
        <v>SDP OEM: customizable steam injection nozzle</v>
      </c>
      <c r="D29" s="644">
        <v>32.5</v>
      </c>
      <c r="E29" s="595"/>
      <c r="F29" s="648">
        <f>IF(SELECTION!$C$46="Eur",CODICI!D29,CODICI!D29*SELECTION!$C$48)</f>
        <v>32.5</v>
      </c>
    </row>
    <row r="30" spans="1:6" x14ac:dyDescent="0.2">
      <c r="A30" s="54">
        <f t="shared" si="0"/>
        <v>25</v>
      </c>
      <c r="B30" s="57" t="s">
        <v>847</v>
      </c>
      <c r="C30" s="56" t="str">
        <f>VLOOKUP(B30,LINGUA!$B:$H,2,0)</f>
        <v>‘Y’ connector for steam hoses (from 1x Ø=40 mm to 2x Ø=30 mm)</v>
      </c>
      <c r="D30" s="644">
        <v>131.5</v>
      </c>
      <c r="E30" s="595"/>
      <c r="F30" s="648">
        <f>IF(SELECTION!$C$46="Eur",CODICI!D30,CODICI!D30*SELECTION!$C$48)</f>
        <v>131.5</v>
      </c>
    </row>
    <row r="31" spans="1:6" x14ac:dyDescent="0.2">
      <c r="A31" s="54">
        <f t="shared" si="0"/>
        <v>26</v>
      </c>
      <c r="B31" s="56" t="s">
        <v>1413</v>
      </c>
      <c r="C31" s="56" t="str">
        <f>VLOOKUP(B31,LINGUA!$B:$H,2,0)</f>
        <v>‘Y’ connector for steam hoses (from 1x Ø=40 mm to 2x Ø=40 mm)</v>
      </c>
      <c r="D31" s="644">
        <v>136.9</v>
      </c>
      <c r="E31" s="595"/>
      <c r="F31" s="648">
        <f>IF(SELECTION!$C$46="Eur",CODICI!D31,CODICI!D31*SELECTION!$C$48)</f>
        <v>136.9</v>
      </c>
    </row>
    <row r="32" spans="1:6" x14ac:dyDescent="0.2">
      <c r="A32" s="54">
        <f t="shared" si="0"/>
        <v>27</v>
      </c>
      <c r="B32" s="56" t="s">
        <v>2336</v>
      </c>
      <c r="C32" s="56" t="str">
        <f>VLOOKUP(B32,LINGUA!$B:$H,2,0)</f>
        <v>Steam hose with steel spring Ø=22 mm (per metre)</v>
      </c>
      <c r="D32" s="644">
        <v>30.8</v>
      </c>
      <c r="E32" s="595"/>
      <c r="F32" s="648">
        <f>IF(SELECTION!$C$46="Eur",CODICI!D32,CODICI!D32*SELECTION!$C$48)</f>
        <v>30.8</v>
      </c>
    </row>
    <row r="33" spans="1:6" x14ac:dyDescent="0.2">
      <c r="A33" s="54">
        <f t="shared" si="0"/>
        <v>28</v>
      </c>
      <c r="B33" s="56" t="s">
        <v>2337</v>
      </c>
      <c r="C33" s="56" t="str">
        <f>VLOOKUP(B33,LINGUA!$B:$H,2,0)</f>
        <v>Steam hose with steel spring Ø=30 mm (per meter)</v>
      </c>
      <c r="D33" s="644">
        <v>38.200000000000003</v>
      </c>
      <c r="E33" s="595"/>
      <c r="F33" s="648">
        <f>IF(SELECTION!$C$46="Eur",CODICI!D33,CODICI!D33*SELECTION!$C$48)</f>
        <v>38.200000000000003</v>
      </c>
    </row>
    <row r="34" spans="1:6" x14ac:dyDescent="0.2">
      <c r="A34" s="54">
        <f t="shared" si="0"/>
        <v>29</v>
      </c>
      <c r="B34" s="56" t="s">
        <v>2338</v>
      </c>
      <c r="C34" s="56" t="str">
        <f>VLOOKUP(B34,LINGUA!$B:$H,2,0)</f>
        <v>Steam hose with steel spring Ø=40 mm (per metre)</v>
      </c>
      <c r="D34" s="644">
        <v>57.3</v>
      </c>
      <c r="E34" s="595"/>
      <c r="F34" s="648">
        <f>IF(SELECTION!$C$46="Eur",CODICI!D34,CODICI!D34*SELECTION!$C$48)</f>
        <v>57.3</v>
      </c>
    </row>
    <row r="35" spans="1:6" x14ac:dyDescent="0.2">
      <c r="A35" s="54">
        <f t="shared" si="0"/>
        <v>30</v>
      </c>
      <c r="B35" s="56" t="s">
        <v>3165</v>
      </c>
      <c r="C35" s="56" t="str">
        <f>VLOOKUP(B35,LINGUA!$B:$H,2,0)</f>
        <v xml:space="preserve">Water fill hose l = 1.5 m with 3/4” fitting </v>
      </c>
      <c r="D35" s="644">
        <v>16</v>
      </c>
      <c r="E35" s="595"/>
      <c r="F35" s="648">
        <f>IF(SELECTION!$C$46="Eur",CODICI!D35,CODICI!D35*SELECTION!$C$48)</f>
        <v>16</v>
      </c>
    </row>
    <row r="36" spans="1:6" x14ac:dyDescent="0.2">
      <c r="A36" s="54">
        <f t="shared" si="0"/>
        <v>31</v>
      </c>
      <c r="B36" s="56" t="s">
        <v>3166</v>
      </c>
      <c r="C36" s="56" t="str">
        <f>VLOOKUP(B36,LINGUA!$B:$H,2,0)</f>
        <v xml:space="preserve">Water fill hose l = 3 m with 3/4” fitting </v>
      </c>
      <c r="D36" s="644">
        <v>23.4</v>
      </c>
      <c r="E36" s="595"/>
      <c r="F36" s="648">
        <f>IF(SELECTION!$C$46="Eur",CODICI!D36,CODICI!D36*SELECTION!$C$48)</f>
        <v>23.4</v>
      </c>
    </row>
    <row r="37" spans="1:6" x14ac:dyDescent="0.2">
      <c r="A37" s="54">
        <f t="shared" si="0"/>
        <v>32</v>
      </c>
      <c r="B37" s="56" t="s">
        <v>3167</v>
      </c>
      <c r="C37" s="56" t="str">
        <f>VLOOKUP(B37,LINGUA!$B:$H,2,0)</f>
        <v>Water fill hose with dual-check valve (included from UE065 to UE130)</v>
      </c>
      <c r="D37" s="644">
        <v>41.4</v>
      </c>
      <c r="E37" s="595"/>
      <c r="F37" s="648">
        <f>IF(SELECTION!$C$46="Eur",CODICI!D37,CODICI!D37*SELECTION!$C$48)</f>
        <v>41.4</v>
      </c>
    </row>
    <row r="38" spans="1:6" x14ac:dyDescent="0.2">
      <c r="A38" s="54">
        <f t="shared" si="0"/>
        <v>33</v>
      </c>
      <c r="B38" s="57" t="s">
        <v>2341</v>
      </c>
      <c r="C38" s="56" t="str">
        <f>VLOOKUP(B38,LINGUA!$B:$H,2,0)</f>
        <v>SFC 006: condensate drain hose Ø=7 mm (per metre)</v>
      </c>
      <c r="D38" s="644">
        <v>6.4</v>
      </c>
      <c r="E38" s="595"/>
      <c r="F38" s="648">
        <f>IF(SELECTION!$C$46="Eur",CODICI!D38,CODICI!D38*SELECTION!$C$48)</f>
        <v>6.4</v>
      </c>
    </row>
    <row r="39" spans="1:6" x14ac:dyDescent="0.2">
      <c r="A39" s="54">
        <f t="shared" si="0"/>
        <v>34</v>
      </c>
      <c r="B39" s="56" t="s">
        <v>2122</v>
      </c>
      <c r="C39" s="56" t="str">
        <f>VLOOKUP(B39,LINGUA!$B:$H,2,0)</f>
        <v>condensate drain hose Ø=10 mm (per metre)</v>
      </c>
      <c r="D39" s="644">
        <v>8.4</v>
      </c>
      <c r="E39" s="595"/>
      <c r="F39" s="648">
        <f>IF(SELECTION!$C$46="Eur",CODICI!D39,CODICI!D39*SELECTION!$C$48)</f>
        <v>8.4</v>
      </c>
    </row>
    <row r="40" spans="1:6" x14ac:dyDescent="0.2">
      <c r="A40" s="54">
        <f t="shared" si="0"/>
        <v>35</v>
      </c>
      <c r="B40" s="56" t="s">
        <v>1545</v>
      </c>
      <c r="C40" s="56" t="str">
        <f>VLOOKUP(B40,LINGUA!$B:$H,2,0)</f>
        <v>Active wall mounting sensor: Temperature (-10T60 °C) and humidity (10 to 90% rH)</v>
      </c>
      <c r="D40" s="644">
        <v>99</v>
      </c>
      <c r="E40" s="595"/>
      <c r="F40" s="648">
        <f>IF(SELECTION!$C$46="Eur",CODICI!D40,CODICI!D40*SELECTION!$C$48)</f>
        <v>99</v>
      </c>
    </row>
    <row r="41" spans="1:6" x14ac:dyDescent="0.2">
      <c r="A41" s="54">
        <f t="shared" si="0"/>
        <v>36</v>
      </c>
      <c r="B41" s="56" t="s">
        <v>1546</v>
      </c>
      <c r="C41" s="56" t="str">
        <f>VLOOKUP(B41,LINGUA!$B:$H,2,0)</f>
        <v>Active sensor for industrial environments: Temperature (-20T70 °C) and humidity (10 to 90% rH)</v>
      </c>
      <c r="D41" s="644">
        <v>164.5</v>
      </c>
      <c r="E41" s="595"/>
      <c r="F41" s="648">
        <f>IF(SELECTION!$C$46="Eur",CODICI!D41,CODICI!D41*SELECTION!$C$48)</f>
        <v>164.5</v>
      </c>
    </row>
    <row r="42" spans="1:6" x14ac:dyDescent="0.2">
      <c r="A42" s="54">
        <f t="shared" si="0"/>
        <v>37</v>
      </c>
      <c r="B42" s="56" t="s">
        <v>1547</v>
      </c>
      <c r="C42" s="56" t="str">
        <f>VLOOKUP(B42,LINGUA!$B:$H,2,0)</f>
        <v>Active sensor for industrial environments: Temperature (-20T70 °C) and humidity (0 to 100% rH)</v>
      </c>
      <c r="D42" s="644">
        <v>257</v>
      </c>
      <c r="E42" s="595"/>
      <c r="F42" s="648">
        <f>IF(SELECTION!$C$46="Eur",CODICI!D42,CODICI!D42*SELECTION!$C$48)</f>
        <v>257</v>
      </c>
    </row>
    <row r="43" spans="1:6" x14ac:dyDescent="0.2">
      <c r="A43" s="54">
        <f t="shared" si="0"/>
        <v>38</v>
      </c>
      <c r="B43" s="56" t="s">
        <v>1548</v>
      </c>
      <c r="C43" s="56" t="str">
        <f>VLOOKUP(B43,LINGUA!$B:$H,2,0)</f>
        <v>Active sensor for ducts: Temperature (-20T70 °C) and humidity (10 to 90% rH)</v>
      </c>
      <c r="D43" s="644">
        <v>164.5</v>
      </c>
      <c r="E43" s="595"/>
      <c r="F43" s="648">
        <f>IF(SELECTION!$C$46="Eur",CODICI!D43,CODICI!D43*SELECTION!$C$48)</f>
        <v>164.5</v>
      </c>
    </row>
    <row r="44" spans="1:6" x14ac:dyDescent="0.2">
      <c r="A44" s="54">
        <f t="shared" si="0"/>
        <v>39</v>
      </c>
      <c r="B44" s="56" t="s">
        <v>1549</v>
      </c>
      <c r="C44" s="56" t="str">
        <f>VLOOKUP(B44,LINGUA!$B:$H,2,0)</f>
        <v>Active sensor for ducts: Temperature (-20T70 °C) and humidity (0 to 100% rH)</v>
      </c>
      <c r="D44" s="644">
        <v>257</v>
      </c>
      <c r="E44" s="595"/>
      <c r="F44" s="648">
        <f>IF(SELECTION!$C$46="Eur",CODICI!D44,CODICI!D44*SELECTION!$C$48)</f>
        <v>257</v>
      </c>
    </row>
    <row r="45" spans="1:6" x14ac:dyDescent="0.2">
      <c r="A45" s="54">
        <f t="shared" si="0"/>
        <v>40</v>
      </c>
      <c r="B45" s="58" t="s">
        <v>1213</v>
      </c>
      <c r="C45" s="56" t="str">
        <f>VLOOKUP(B45,LINGUA!$B:$H,2,0)</f>
        <v>Temperature probe (-30T90 °C) for universal use</v>
      </c>
      <c r="D45" s="644">
        <v>75.5</v>
      </c>
      <c r="E45" s="595"/>
      <c r="F45" s="648">
        <f>IF(SELECTION!$C$46="Eur",CODICI!D45,CODICI!D45*SELECTION!$C$48)</f>
        <v>75.5</v>
      </c>
    </row>
    <row r="46" spans="1:6" x14ac:dyDescent="0.2">
      <c r="A46" s="54">
        <f t="shared" si="0"/>
        <v>41</v>
      </c>
      <c r="B46" s="56" t="s">
        <v>320</v>
      </c>
      <c r="C46" s="56" t="str">
        <f>VLOOKUP(B46,LINGUA!$B:$H,2,0)</f>
        <v>humiSteam Basic 1,5 kg/h, 230V 1~, ON/OFF or proportional, disposable cylinder</v>
      </c>
      <c r="D46" s="644">
        <v>903</v>
      </c>
      <c r="E46" s="595"/>
      <c r="F46" s="648">
        <f>IF(SELECTION!$C$46="Eur",CODICI!D46,CODICI!D46*SELECTION!$C$48)</f>
        <v>903</v>
      </c>
    </row>
    <row r="47" spans="1:6" ht="13.15" customHeight="1" x14ac:dyDescent="0.2">
      <c r="A47" s="54">
        <f t="shared" si="0"/>
        <v>42</v>
      </c>
      <c r="B47" s="56" t="s">
        <v>432</v>
      </c>
      <c r="C47" s="56" t="str">
        <f>VLOOKUP(B47,LINGUA!$B:$H,2,0)</f>
        <v>humiSteam Basic 1,5 kg/h, 230V 1~, ON/OFF or proportional, cleanable cylinder</v>
      </c>
      <c r="D47" s="644">
        <v>946</v>
      </c>
      <c r="E47" s="595"/>
      <c r="F47" s="648">
        <f>IF(SELECTION!$C$46="Eur",CODICI!D47,CODICI!D47*SELECTION!$C$48)</f>
        <v>946</v>
      </c>
    </row>
    <row r="48" spans="1:6" x14ac:dyDescent="0.2">
      <c r="A48" s="54">
        <f t="shared" si="0"/>
        <v>43</v>
      </c>
      <c r="B48" s="56" t="s">
        <v>321</v>
      </c>
      <c r="C48" s="56" t="str">
        <f>VLOOKUP(B48,LINGUA!$B:$H,2,0)</f>
        <v>humiSteam Basic 1,5 kg/h, 208V 1~, ON/OFF or proportional, disposable cylinder</v>
      </c>
      <c r="D48" s="644">
        <v>903</v>
      </c>
      <c r="E48" s="595"/>
      <c r="F48" s="648">
        <f>IF(SELECTION!$C$46="Eur",CODICI!D48,CODICI!D48*SELECTION!$C$48)</f>
        <v>903</v>
      </c>
    </row>
    <row r="49" spans="1:6" x14ac:dyDescent="0.2">
      <c r="A49" s="54">
        <f t="shared" si="0"/>
        <v>44</v>
      </c>
      <c r="B49" s="56" t="s">
        <v>433</v>
      </c>
      <c r="C49" s="56" t="str">
        <f>VLOOKUP(B49,LINGUA!$B:$H,2,0)</f>
        <v>humiSteam Basic 1,5 kg/h, 208V 1~, ON/OFF or proportional, cleanable cylinder</v>
      </c>
      <c r="D49" s="644">
        <v>946</v>
      </c>
      <c r="E49" s="595"/>
      <c r="F49" s="648">
        <f>IF(SELECTION!$C$46="Eur",CODICI!D49,CODICI!D49*SELECTION!$C$48)</f>
        <v>946</v>
      </c>
    </row>
    <row r="50" spans="1:6" x14ac:dyDescent="0.2">
      <c r="A50" s="54">
        <f t="shared" si="0"/>
        <v>45</v>
      </c>
      <c r="B50" s="56" t="s">
        <v>322</v>
      </c>
      <c r="C50" s="56" t="str">
        <f>VLOOKUP(B50,LINGUA!$B:$H,2,0)</f>
        <v>humiSteam Basic 3 kg/h, 230V 1~, ON/OFF or proportional, disposable cylinder</v>
      </c>
      <c r="D50" s="644">
        <v>1029</v>
      </c>
      <c r="E50" s="595"/>
      <c r="F50" s="648">
        <f>IF(SELECTION!$C$46="Eur",CODICI!D50,CODICI!D50*SELECTION!$C$48)</f>
        <v>1029</v>
      </c>
    </row>
    <row r="51" spans="1:6" x14ac:dyDescent="0.2">
      <c r="A51" s="54">
        <f t="shared" si="0"/>
        <v>46</v>
      </c>
      <c r="B51" s="56" t="s">
        <v>434</v>
      </c>
      <c r="C51" s="56" t="str">
        <f>VLOOKUP(B51,LINGUA!$B:$H,2,0)</f>
        <v>humiSteam Basic 3 kg/h, 230V 1~, ON/OFF or proportional, cleanable cylinder</v>
      </c>
      <c r="D51" s="644">
        <v>1067</v>
      </c>
      <c r="E51" s="595"/>
      <c r="F51" s="648">
        <f>IF(SELECTION!$C$46="Eur",CODICI!D51,CODICI!D51*SELECTION!$C$48)</f>
        <v>1067</v>
      </c>
    </row>
    <row r="52" spans="1:6" x14ac:dyDescent="0.2">
      <c r="A52" s="54">
        <f t="shared" si="0"/>
        <v>47</v>
      </c>
      <c r="B52" s="56" t="s">
        <v>323</v>
      </c>
      <c r="C52" s="56" t="str">
        <f>VLOOKUP(B52,LINGUA!$B:$H,2,0)</f>
        <v>humiSteam Basic 3 kg/h, 230V 3~, ON/OFF or proportional, disposable cylinder</v>
      </c>
      <c r="D52" s="644">
        <v>1030</v>
      </c>
      <c r="E52" s="595"/>
      <c r="F52" s="648">
        <f>IF(SELECTION!$C$46="Eur",CODICI!D52,CODICI!D52*SELECTION!$C$48)</f>
        <v>1030</v>
      </c>
    </row>
    <row r="53" spans="1:6" x14ac:dyDescent="0.2">
      <c r="A53" s="54">
        <f t="shared" si="0"/>
        <v>48</v>
      </c>
      <c r="B53" s="56" t="s">
        <v>435</v>
      </c>
      <c r="C53" s="56" t="str">
        <f>VLOOKUP(B53,LINGUA!$B:$H,2,0)</f>
        <v>humiSteam Basic 3 kg/h, 230V 3~, ON/OFF or proportional, cleanable cylinder</v>
      </c>
      <c r="D53" s="644">
        <v>1060</v>
      </c>
      <c r="E53" s="595"/>
      <c r="F53" s="648">
        <f>IF(SELECTION!$C$46="Eur",CODICI!D53,CODICI!D53*SELECTION!$C$48)</f>
        <v>1060</v>
      </c>
    </row>
    <row r="54" spans="1:6" x14ac:dyDescent="0.2">
      <c r="A54" s="54">
        <f t="shared" si="0"/>
        <v>49</v>
      </c>
      <c r="B54" s="56" t="s">
        <v>324</v>
      </c>
      <c r="C54" s="56" t="str">
        <f>VLOOKUP(B54,LINGUA!$B:$H,2,0)</f>
        <v>humiSteam Basic 3 kg/h, 400V 3~, ON/OFF or proportional, disposable cylinder</v>
      </c>
      <c r="D54" s="644">
        <v>1029</v>
      </c>
      <c r="E54" s="595"/>
      <c r="F54" s="648">
        <f>IF(SELECTION!$C$46="Eur",CODICI!D54,CODICI!D54*SELECTION!$C$48)</f>
        <v>1029</v>
      </c>
    </row>
    <row r="55" spans="1:6" x14ac:dyDescent="0.2">
      <c r="A55" s="54">
        <f t="shared" si="0"/>
        <v>50</v>
      </c>
      <c r="B55" s="56" t="s">
        <v>436</v>
      </c>
      <c r="C55" s="56" t="str">
        <f>VLOOKUP(B55,LINGUA!$B:$H,2,0)</f>
        <v>humiSteam Basic 3 kg/h, 400V 3~, ON/OFF or proportional, cleanable cylinder</v>
      </c>
      <c r="D55" s="644">
        <v>1060</v>
      </c>
      <c r="E55" s="595"/>
      <c r="F55" s="648">
        <f>IF(SELECTION!$C$46="Eur",CODICI!D55,CODICI!D55*SELECTION!$C$48)</f>
        <v>1060</v>
      </c>
    </row>
    <row r="56" spans="1:6" x14ac:dyDescent="0.2">
      <c r="A56" s="54">
        <f t="shared" si="0"/>
        <v>51</v>
      </c>
      <c r="B56" s="56" t="s">
        <v>325</v>
      </c>
      <c r="C56" s="56" t="str">
        <f>VLOOKUP(B56,LINGUA!$B:$H,2,0)</f>
        <v>humiSteam Basic 3 kg/h, 460V 3~, ON/OFF or proportional, disposable cylinder</v>
      </c>
      <c r="D56" s="644">
        <v>1030</v>
      </c>
      <c r="E56" s="595"/>
      <c r="F56" s="648">
        <f>IF(SELECTION!$C$46="Eur",CODICI!D56,CODICI!D56*SELECTION!$C$48)</f>
        <v>1030</v>
      </c>
    </row>
    <row r="57" spans="1:6" x14ac:dyDescent="0.2">
      <c r="A57" s="54">
        <f t="shared" si="0"/>
        <v>52</v>
      </c>
      <c r="B57" s="56" t="s">
        <v>437</v>
      </c>
      <c r="C57" s="56" t="str">
        <f>VLOOKUP(B57,LINGUA!$B:$H,2,0)</f>
        <v>humiSteam Basic 3 kg/h, 460V 3~, ON/OFF or proportional, cleanable cylinder</v>
      </c>
      <c r="D57" s="644">
        <v>1060</v>
      </c>
      <c r="E57" s="595"/>
      <c r="F57" s="648">
        <f>IF(SELECTION!$C$46="Eur",CODICI!D57,CODICI!D57*SELECTION!$C$48)</f>
        <v>1060</v>
      </c>
    </row>
    <row r="58" spans="1:6" x14ac:dyDescent="0.2">
      <c r="A58" s="54">
        <f t="shared" si="0"/>
        <v>53</v>
      </c>
      <c r="B58" s="56" t="s">
        <v>326</v>
      </c>
      <c r="C58" s="56" t="str">
        <f>VLOOKUP(B58,LINGUA!$B:$H,2,0)</f>
        <v>humiSteam Basic 3 kg/h, 208V 1~, ON/OFF or proportional, disposable cylinder</v>
      </c>
      <c r="D58" s="644">
        <v>1030</v>
      </c>
      <c r="E58" s="595"/>
      <c r="F58" s="648">
        <f>IF(SELECTION!$C$46="Eur",CODICI!D58,CODICI!D58*SELECTION!$C$48)</f>
        <v>1030</v>
      </c>
    </row>
    <row r="59" spans="1:6" x14ac:dyDescent="0.2">
      <c r="A59" s="54">
        <f t="shared" si="0"/>
        <v>54</v>
      </c>
      <c r="B59" s="56" t="s">
        <v>438</v>
      </c>
      <c r="C59" s="56" t="str">
        <f>VLOOKUP(B59,LINGUA!$B:$H,2,0)</f>
        <v>humiSteam Basic 3 kg/h, 208V 1~, ON/OFF or proportional, cleanable cylinder</v>
      </c>
      <c r="D59" s="644">
        <v>1067</v>
      </c>
      <c r="E59" s="595"/>
      <c r="F59" s="648">
        <f>IF(SELECTION!$C$46="Eur",CODICI!D59,CODICI!D59*SELECTION!$C$48)</f>
        <v>1067</v>
      </c>
    </row>
    <row r="60" spans="1:6" x14ac:dyDescent="0.2">
      <c r="A60" s="54">
        <f t="shared" si="0"/>
        <v>55</v>
      </c>
      <c r="B60" s="56" t="s">
        <v>327</v>
      </c>
      <c r="C60" s="56" t="str">
        <f>VLOOKUP(B60,LINGUA!$B:$H,2,0)</f>
        <v>humiSteam Basic 3 kg/h, 208V 3~, ON/OFF or proportional, disposable cylinder</v>
      </c>
      <c r="D60" s="644">
        <v>1030</v>
      </c>
      <c r="E60" s="595"/>
      <c r="F60" s="648">
        <f>IF(SELECTION!$C$46="Eur",CODICI!D60,CODICI!D60*SELECTION!$C$48)</f>
        <v>1030</v>
      </c>
    </row>
    <row r="61" spans="1:6" x14ac:dyDescent="0.2">
      <c r="A61" s="54">
        <f t="shared" si="0"/>
        <v>56</v>
      </c>
      <c r="B61" s="56" t="s">
        <v>439</v>
      </c>
      <c r="C61" s="56" t="str">
        <f>VLOOKUP(B61,LINGUA!$B:$H,2,0)</f>
        <v>humiSteam Basic 3 kg/h, 208V 3~, ON/OFF or proportional, cleanable cylinder</v>
      </c>
      <c r="D61" s="644">
        <v>1060</v>
      </c>
      <c r="E61" s="595"/>
      <c r="F61" s="648">
        <f>IF(SELECTION!$C$46="Eur",CODICI!D61,CODICI!D61*SELECTION!$C$48)</f>
        <v>1060</v>
      </c>
    </row>
    <row r="62" spans="1:6" x14ac:dyDescent="0.2">
      <c r="A62" s="54">
        <f t="shared" si="0"/>
        <v>57</v>
      </c>
      <c r="B62" s="56" t="s">
        <v>328</v>
      </c>
      <c r="C62" s="56" t="str">
        <f>VLOOKUP(B62,LINGUA!$B:$H,2,0)</f>
        <v>humiSteam Basic 5 kg/h, 230V 1~, ON/OFF or proportional, disposable cylinder</v>
      </c>
      <c r="D62" s="644">
        <v>1137</v>
      </c>
      <c r="E62" s="595"/>
      <c r="F62" s="648">
        <f>IF(SELECTION!$C$46="Eur",CODICI!D62,CODICI!D62*SELECTION!$C$48)</f>
        <v>1137</v>
      </c>
    </row>
    <row r="63" spans="1:6" x14ac:dyDescent="0.2">
      <c r="A63" s="54">
        <f t="shared" si="0"/>
        <v>58</v>
      </c>
      <c r="B63" s="56" t="s">
        <v>440</v>
      </c>
      <c r="C63" s="56" t="str">
        <f>VLOOKUP(B63,LINGUA!$B:$H,2,0)</f>
        <v>humiSteam Basic 5 kg/h, 230V 1~, ON/OFF or proportional, cleanable cylinder</v>
      </c>
      <c r="D63" s="644">
        <v>1202</v>
      </c>
      <c r="E63" s="595"/>
      <c r="F63" s="648">
        <f>IF(SELECTION!$C$46="Eur",CODICI!D63,CODICI!D63*SELECTION!$C$48)</f>
        <v>1202</v>
      </c>
    </row>
    <row r="64" spans="1:6" x14ac:dyDescent="0.2">
      <c r="A64" s="54">
        <f t="shared" si="0"/>
        <v>59</v>
      </c>
      <c r="B64" s="56" t="s">
        <v>329</v>
      </c>
      <c r="C64" s="56" t="str">
        <f>VLOOKUP(B64,LINGUA!$B:$H,2,0)</f>
        <v>humiSteam Basic 5 kg/h, 230V 3~, ON/OFF or proportional, disposable cylinder</v>
      </c>
      <c r="D64" s="644">
        <v>1138</v>
      </c>
      <c r="E64" s="595"/>
      <c r="F64" s="648">
        <f>IF(SELECTION!$C$46="Eur",CODICI!D64,CODICI!D64*SELECTION!$C$48)</f>
        <v>1138</v>
      </c>
    </row>
    <row r="65" spans="1:6" x14ac:dyDescent="0.2">
      <c r="A65" s="54">
        <f t="shared" si="0"/>
        <v>60</v>
      </c>
      <c r="B65" s="56" t="s">
        <v>441</v>
      </c>
      <c r="C65" s="56" t="str">
        <f>VLOOKUP(B65,LINGUA!$B:$H,2,0)</f>
        <v>humiSteam Basic 5 kg/h, 230V 3~, ON/OFF or proportional, cleanable cylinder</v>
      </c>
      <c r="D65" s="644">
        <v>1169</v>
      </c>
      <c r="E65" s="595"/>
      <c r="F65" s="648">
        <f>IF(SELECTION!$C$46="Eur",CODICI!D65,CODICI!D65*SELECTION!$C$48)</f>
        <v>1169</v>
      </c>
    </row>
    <row r="66" spans="1:6" x14ac:dyDescent="0.2">
      <c r="A66" s="54">
        <f t="shared" si="0"/>
        <v>61</v>
      </c>
      <c r="B66" s="56" t="s">
        <v>330</v>
      </c>
      <c r="C66" s="56" t="str">
        <f>VLOOKUP(B66,LINGUA!$B:$H,2,0)</f>
        <v>humiSteam Basic 5 kg/h, 400V 3~, ON/OFF or proportional, disposable cylinder</v>
      </c>
      <c r="D66" s="644">
        <v>1137</v>
      </c>
      <c r="E66" s="595"/>
      <c r="F66" s="648">
        <f>IF(SELECTION!$C$46="Eur",CODICI!D66,CODICI!D66*SELECTION!$C$48)</f>
        <v>1137</v>
      </c>
    </row>
    <row r="67" spans="1:6" x14ac:dyDescent="0.2">
      <c r="A67" s="54">
        <f t="shared" si="0"/>
        <v>62</v>
      </c>
      <c r="B67" s="56" t="s">
        <v>442</v>
      </c>
      <c r="C67" s="56" t="str">
        <f>VLOOKUP(B67,LINGUA!$B:$H,2,0)</f>
        <v>humiSteam Basic 5 kg/h, 400V 3~, ON/OFF or proportional, cleanable cylinder</v>
      </c>
      <c r="D67" s="644">
        <v>1168</v>
      </c>
      <c r="E67" s="595"/>
      <c r="F67" s="648">
        <f>IF(SELECTION!$C$46="Eur",CODICI!D67,CODICI!D67*SELECTION!$C$48)</f>
        <v>1168</v>
      </c>
    </row>
    <row r="68" spans="1:6" x14ac:dyDescent="0.2">
      <c r="A68" s="54">
        <f t="shared" si="0"/>
        <v>63</v>
      </c>
      <c r="B68" s="56" t="s">
        <v>331</v>
      </c>
      <c r="C68" s="56" t="str">
        <f>VLOOKUP(B68,LINGUA!$B:$H,2,0)</f>
        <v>humiSteam Basic 5 kg/h, 460V 3~, ON/OFF or proportional, disposable cylinder</v>
      </c>
      <c r="D68" s="644">
        <v>1138</v>
      </c>
      <c r="E68" s="595"/>
      <c r="F68" s="648">
        <f>IF(SELECTION!$C$46="Eur",CODICI!D68,CODICI!D68*SELECTION!$C$48)</f>
        <v>1138</v>
      </c>
    </row>
    <row r="69" spans="1:6" x14ac:dyDescent="0.2">
      <c r="A69" s="54">
        <f t="shared" si="0"/>
        <v>64</v>
      </c>
      <c r="B69" s="56" t="s">
        <v>443</v>
      </c>
      <c r="C69" s="56" t="str">
        <f>VLOOKUP(B69,LINGUA!$B:$H,2,0)</f>
        <v>humiSteam Basic 5 kg/h, 460V 3~, ON/OFF or proportional, cleanable cylinder</v>
      </c>
      <c r="D69" s="644">
        <v>1168</v>
      </c>
      <c r="E69" s="595"/>
      <c r="F69" s="648">
        <f>IF(SELECTION!$C$46="Eur",CODICI!D69,CODICI!D69*SELECTION!$C$48)</f>
        <v>1168</v>
      </c>
    </row>
    <row r="70" spans="1:6" x14ac:dyDescent="0.2">
      <c r="A70" s="54">
        <f t="shared" si="0"/>
        <v>65</v>
      </c>
      <c r="B70" s="56" t="s">
        <v>332</v>
      </c>
      <c r="C70" s="56" t="str">
        <f>VLOOKUP(B70,LINGUA!$B:$H,2,0)</f>
        <v>humiSteam Basic 5 kg/h, 575V 3~, ON/OFF or proportional, disposable cylinder</v>
      </c>
      <c r="D70" s="644">
        <v>1138</v>
      </c>
      <c r="E70" s="595"/>
      <c r="F70" s="648">
        <f>IF(SELECTION!$C$46="Eur",CODICI!D70,CODICI!D70*SELECTION!$C$48)</f>
        <v>1138</v>
      </c>
    </row>
    <row r="71" spans="1:6" x14ac:dyDescent="0.2">
      <c r="A71" s="54">
        <f t="shared" si="0"/>
        <v>66</v>
      </c>
      <c r="B71" s="56" t="s">
        <v>444</v>
      </c>
      <c r="C71" s="56" t="str">
        <f>VLOOKUP(B71,LINGUA!$B:$H,2,0)</f>
        <v>humiSteam Basic 5 kg/h, 575V 3~, ON/OFF or proportional, cleanable cylinder</v>
      </c>
      <c r="D71" s="644">
        <v>1168</v>
      </c>
      <c r="E71" s="595"/>
      <c r="F71" s="648">
        <f>IF(SELECTION!$C$46="Eur",CODICI!D71,CODICI!D71*SELECTION!$C$48)</f>
        <v>1168</v>
      </c>
    </row>
    <row r="72" spans="1:6" ht="13.15" customHeight="1" x14ac:dyDescent="0.2">
      <c r="A72" s="54">
        <f t="shared" ref="A72:A135" si="1">+A71+1</f>
        <v>67</v>
      </c>
      <c r="B72" s="56" t="s">
        <v>333</v>
      </c>
      <c r="C72" s="56" t="str">
        <f>VLOOKUP(B72,LINGUA!$B:$H,2,0)</f>
        <v>humiSteam Basic 5 kg/h, 208V 1~, ON/OFF or proportional, disposable cylinder</v>
      </c>
      <c r="D72" s="644">
        <v>1138</v>
      </c>
      <c r="E72" s="595"/>
      <c r="F72" s="648">
        <f>IF(SELECTION!$C$46="Eur",CODICI!D72,CODICI!D72*SELECTION!$C$48)</f>
        <v>1138</v>
      </c>
    </row>
    <row r="73" spans="1:6" x14ac:dyDescent="0.2">
      <c r="A73" s="54">
        <f t="shared" si="1"/>
        <v>68</v>
      </c>
      <c r="B73" s="56" t="s">
        <v>445</v>
      </c>
      <c r="C73" s="56" t="str">
        <f>VLOOKUP(B73,LINGUA!$B:$H,2,0)</f>
        <v>humiSteam Basic 5 kg/h, 208V 1~, ON/OFF or proportional, cleanable cylinder</v>
      </c>
      <c r="D73" s="644">
        <v>1202</v>
      </c>
      <c r="E73" s="595"/>
      <c r="F73" s="648">
        <f>IF(SELECTION!$C$46="Eur",CODICI!D73,CODICI!D73*SELECTION!$C$48)</f>
        <v>1202</v>
      </c>
    </row>
    <row r="74" spans="1:6" x14ac:dyDescent="0.2">
      <c r="A74" s="54">
        <f t="shared" si="1"/>
        <v>69</v>
      </c>
      <c r="B74" s="56" t="s">
        <v>334</v>
      </c>
      <c r="C74" s="56" t="str">
        <f>VLOOKUP(B74,LINGUA!$B:$H,2,0)</f>
        <v>humiSteam Basic 5 kg/h, 208V 3~, ON/OFF or proportional, disposable cylinder</v>
      </c>
      <c r="D74" s="644">
        <v>1138</v>
      </c>
      <c r="E74" s="595"/>
      <c r="F74" s="648">
        <f>IF(SELECTION!$C$46="Eur",CODICI!D74,CODICI!D74*SELECTION!$C$48)</f>
        <v>1138</v>
      </c>
    </row>
    <row r="75" spans="1:6" x14ac:dyDescent="0.2">
      <c r="A75" s="54">
        <f t="shared" si="1"/>
        <v>70</v>
      </c>
      <c r="B75" s="56" t="s">
        <v>446</v>
      </c>
      <c r="C75" s="56" t="str">
        <f>VLOOKUP(B75,LINGUA!$B:$H,2,0)</f>
        <v>humiSteam Basic 5 kg/h, 208V 3~, ON/OFF or proportional, cleanable cylinder</v>
      </c>
      <c r="D75" s="644">
        <v>1168</v>
      </c>
      <c r="E75" s="595"/>
      <c r="F75" s="648">
        <f>IF(SELECTION!$C$46="Eur",CODICI!D75,CODICI!D75*SELECTION!$C$48)</f>
        <v>1168</v>
      </c>
    </row>
    <row r="76" spans="1:6" x14ac:dyDescent="0.2">
      <c r="A76" s="54">
        <f t="shared" si="1"/>
        <v>71</v>
      </c>
      <c r="B76" s="56" t="s">
        <v>335</v>
      </c>
      <c r="C76" s="56" t="str">
        <f>VLOOKUP(B76,LINGUA!$B:$H,2,0)</f>
        <v>humiSteam Basic 8 kg/h, 230V 3~, ON/OFF or proportional, disposable cylinder</v>
      </c>
      <c r="D76" s="644">
        <v>1217</v>
      </c>
      <c r="E76" s="595"/>
      <c r="F76" s="648">
        <f>IF(SELECTION!$C$46="Eur",CODICI!D76,CODICI!D76*SELECTION!$C$48)</f>
        <v>1217</v>
      </c>
    </row>
    <row r="77" spans="1:6" x14ac:dyDescent="0.2">
      <c r="A77" s="54">
        <f t="shared" si="1"/>
        <v>72</v>
      </c>
      <c r="B77" s="56" t="s">
        <v>447</v>
      </c>
      <c r="C77" s="56" t="str">
        <f>VLOOKUP(B77,LINGUA!$B:$H,2,0)</f>
        <v>humiSteam Basic 8 kg/h, 230V 3~, ON/OFF or proportional, cleanable cylinder</v>
      </c>
      <c r="D77" s="644">
        <v>1270</v>
      </c>
      <c r="E77" s="595"/>
      <c r="F77" s="648">
        <f>IF(SELECTION!$C$46="Eur",CODICI!D77,CODICI!D77*SELECTION!$C$48)</f>
        <v>1270</v>
      </c>
    </row>
    <row r="78" spans="1:6" x14ac:dyDescent="0.2">
      <c r="A78" s="54">
        <f t="shared" si="1"/>
        <v>73</v>
      </c>
      <c r="B78" s="56" t="s">
        <v>336</v>
      </c>
      <c r="C78" s="56" t="str">
        <f>VLOOKUP(B78,LINGUA!$B:$H,2,0)</f>
        <v>humiSteam Basic 8 kg/h, 400V 3~, ON/OFF or proportional, disposable cylinder</v>
      </c>
      <c r="D78" s="644">
        <v>1216</v>
      </c>
      <c r="E78" s="595"/>
      <c r="F78" s="648">
        <f>IF(SELECTION!$C$46="Eur",CODICI!D78,CODICI!D78*SELECTION!$C$48)</f>
        <v>1216</v>
      </c>
    </row>
    <row r="79" spans="1:6" x14ac:dyDescent="0.2">
      <c r="A79" s="54">
        <f t="shared" si="1"/>
        <v>74</v>
      </c>
      <c r="B79" s="56" t="s">
        <v>448</v>
      </c>
      <c r="C79" s="56" t="str">
        <f>VLOOKUP(B79,LINGUA!$B:$H,2,0)</f>
        <v>humiSteam Basic 8 kg/h, 400V 3~, ON/OFF or proportional, cleanable cylinder</v>
      </c>
      <c r="D79" s="644">
        <v>1270</v>
      </c>
      <c r="E79" s="595"/>
      <c r="F79" s="648">
        <f>IF(SELECTION!$C$46="Eur",CODICI!D79,CODICI!D79*SELECTION!$C$48)</f>
        <v>1270</v>
      </c>
    </row>
    <row r="80" spans="1:6" x14ac:dyDescent="0.2">
      <c r="A80" s="54">
        <f t="shared" si="1"/>
        <v>75</v>
      </c>
      <c r="B80" s="56" t="s">
        <v>337</v>
      </c>
      <c r="C80" s="56" t="str">
        <f>VLOOKUP(B80,LINGUA!$B:$H,2,0)</f>
        <v>humiSteam Basic 8 kg/h, 460V 3~, ON/OFF or proportional, disposable cylinder</v>
      </c>
      <c r="D80" s="644">
        <v>1217</v>
      </c>
      <c r="E80" s="595"/>
      <c r="F80" s="648">
        <f>IF(SELECTION!$C$46="Eur",CODICI!D80,CODICI!D80*SELECTION!$C$48)</f>
        <v>1217</v>
      </c>
    </row>
    <row r="81" spans="1:6" x14ac:dyDescent="0.2">
      <c r="A81" s="54">
        <f t="shared" si="1"/>
        <v>76</v>
      </c>
      <c r="B81" s="56" t="s">
        <v>449</v>
      </c>
      <c r="C81" s="56" t="str">
        <f>VLOOKUP(B81,LINGUA!$B:$H,2,0)</f>
        <v>humiSteam Basic 8 kg/h, 460V 3~, ON/OFF or proportional, cleanable cylinder</v>
      </c>
      <c r="D81" s="644">
        <v>1270</v>
      </c>
      <c r="E81" s="595"/>
      <c r="F81" s="648">
        <f>IF(SELECTION!$C$46="Eur",CODICI!D81,CODICI!D81*SELECTION!$C$48)</f>
        <v>1270</v>
      </c>
    </row>
    <row r="82" spans="1:6" x14ac:dyDescent="0.2">
      <c r="A82" s="54">
        <f t="shared" si="1"/>
        <v>77</v>
      </c>
      <c r="B82" s="56" t="s">
        <v>338</v>
      </c>
      <c r="C82" s="56" t="str">
        <f>VLOOKUP(B82,LINGUA!$B:$H,2,0)</f>
        <v>humiSteam Basic 8 kg/h, 575V 3~, ON/OFF or proportional, disposable cylinder</v>
      </c>
      <c r="D82" s="644">
        <v>1217</v>
      </c>
      <c r="E82" s="595"/>
      <c r="F82" s="648">
        <f>IF(SELECTION!$C$46="Eur",CODICI!D82,CODICI!D82*SELECTION!$C$48)</f>
        <v>1217</v>
      </c>
    </row>
    <row r="83" spans="1:6" x14ac:dyDescent="0.2">
      <c r="A83" s="54">
        <f t="shared" si="1"/>
        <v>78</v>
      </c>
      <c r="B83" s="56" t="s">
        <v>450</v>
      </c>
      <c r="C83" s="56" t="str">
        <f>VLOOKUP(B83,LINGUA!$B:$H,2,0)</f>
        <v>humiSteam Basic 8 kg/h, 575V 3~, ON/OFF or proportional, cleanable cylinder</v>
      </c>
      <c r="D83" s="644">
        <v>1270</v>
      </c>
      <c r="E83" s="595"/>
      <c r="F83" s="648">
        <f>IF(SELECTION!$C$46="Eur",CODICI!D83,CODICI!D83*SELECTION!$C$48)</f>
        <v>1270</v>
      </c>
    </row>
    <row r="84" spans="1:6" x14ac:dyDescent="0.2">
      <c r="A84" s="54">
        <f t="shared" si="1"/>
        <v>79</v>
      </c>
      <c r="B84" s="56" t="s">
        <v>339</v>
      </c>
      <c r="C84" s="56" t="str">
        <f>VLOOKUP(B84,LINGUA!$B:$H,2,0)</f>
        <v>humiSteam Basic 8 kg/h, 208V 3~, ON/OFF or proportional, disposable cylinder</v>
      </c>
      <c r="D84" s="644">
        <v>1217</v>
      </c>
      <c r="E84" s="595"/>
      <c r="F84" s="648">
        <f>IF(SELECTION!$C$46="Eur",CODICI!D84,CODICI!D84*SELECTION!$C$48)</f>
        <v>1217</v>
      </c>
    </row>
    <row r="85" spans="1:6" x14ac:dyDescent="0.2">
      <c r="A85" s="54">
        <f t="shared" si="1"/>
        <v>80</v>
      </c>
      <c r="B85" s="56" t="s">
        <v>451</v>
      </c>
      <c r="C85" s="56" t="str">
        <f>VLOOKUP(B85,LINGUA!$B:$H,2,0)</f>
        <v>humiSteam Basic 8 kg/h, 208V 3~, ON/OFF or proportional, cleanable cylinder</v>
      </c>
      <c r="D85" s="644">
        <v>1270</v>
      </c>
      <c r="E85" s="595"/>
      <c r="F85" s="648">
        <f>IF(SELECTION!$C$46="Eur",CODICI!D85,CODICI!D85*SELECTION!$C$48)</f>
        <v>1270</v>
      </c>
    </row>
    <row r="86" spans="1:6" x14ac:dyDescent="0.2">
      <c r="A86" s="54">
        <f t="shared" si="1"/>
        <v>81</v>
      </c>
      <c r="B86" s="56" t="s">
        <v>340</v>
      </c>
      <c r="C86" s="56" t="str">
        <f>VLOOKUP(B86,LINGUA!$B:$H,2,0)</f>
        <v>humiSteam Basic 9 kg/h, 230V 1~, ON/OFF or proportional, disposable cylinder</v>
      </c>
      <c r="D86" s="644">
        <v>1276</v>
      </c>
      <c r="E86" s="595"/>
      <c r="F86" s="648">
        <f>IF(SELECTION!$C$46="Eur",CODICI!D86,CODICI!D86*SELECTION!$C$48)</f>
        <v>1276</v>
      </c>
    </row>
    <row r="87" spans="1:6" x14ac:dyDescent="0.2">
      <c r="A87" s="54">
        <f t="shared" si="1"/>
        <v>82</v>
      </c>
      <c r="B87" s="56" t="s">
        <v>452</v>
      </c>
      <c r="C87" s="56" t="str">
        <f>VLOOKUP(B87,LINGUA!$B:$H,2,0)</f>
        <v>humiSteam Basic 9 kg/h, 230V 1~, ON/OFF or proportional, cleanable cylinder</v>
      </c>
      <c r="D87" s="644">
        <v>1341</v>
      </c>
      <c r="E87" s="595"/>
      <c r="F87" s="648">
        <f>IF(SELECTION!$C$46="Eur",CODICI!D87,CODICI!D87*SELECTION!$C$48)</f>
        <v>1341</v>
      </c>
    </row>
    <row r="88" spans="1:6" x14ac:dyDescent="0.2">
      <c r="A88" s="54">
        <f t="shared" si="1"/>
        <v>83</v>
      </c>
      <c r="B88" s="56" t="s">
        <v>341</v>
      </c>
      <c r="C88" s="56" t="str">
        <f>VLOOKUP(B88,LINGUA!$B:$H,2,0)</f>
        <v>humiSteam Basic 9 kg/h, 208V 1~, ON/OFF or proportional, disposable cylinder</v>
      </c>
      <c r="D88" s="644">
        <v>1276</v>
      </c>
      <c r="E88" s="595"/>
      <c r="F88" s="648">
        <f>IF(SELECTION!$C$46="Eur",CODICI!D88,CODICI!D88*SELECTION!$C$48)</f>
        <v>1276</v>
      </c>
    </row>
    <row r="89" spans="1:6" x14ac:dyDescent="0.2">
      <c r="A89" s="54">
        <f t="shared" si="1"/>
        <v>84</v>
      </c>
      <c r="B89" s="56" t="s">
        <v>453</v>
      </c>
      <c r="C89" s="56" t="str">
        <f>VLOOKUP(B89,LINGUA!$B:$H,2,0)</f>
        <v>humiSteam Basic 9 kg/h, 208V 1~, ON/OFF or proportional, cleanable cylinder</v>
      </c>
      <c r="D89" s="644">
        <v>1341</v>
      </c>
      <c r="E89" s="595"/>
      <c r="F89" s="648">
        <f>IF(SELECTION!$C$46="Eur",CODICI!D89,CODICI!D89*SELECTION!$C$48)</f>
        <v>1341</v>
      </c>
    </row>
    <row r="90" spans="1:6" x14ac:dyDescent="0.2">
      <c r="A90" s="54">
        <f t="shared" si="1"/>
        <v>85</v>
      </c>
      <c r="B90" s="56" t="s">
        <v>342</v>
      </c>
      <c r="C90" s="56" t="str">
        <f>VLOOKUP(B90,LINGUA!$B:$H,2,0)</f>
        <v>humiSteam Basic 10 kg/h, 230V 3~, ON/OFF or proportional, disposable cylinder</v>
      </c>
      <c r="D90" s="644">
        <v>1251</v>
      </c>
      <c r="E90" s="595"/>
      <c r="F90" s="648">
        <f>IF(SELECTION!$C$46="Eur",CODICI!D90,CODICI!D90*SELECTION!$C$48)</f>
        <v>1251</v>
      </c>
    </row>
    <row r="91" spans="1:6" x14ac:dyDescent="0.2">
      <c r="A91" s="54">
        <f t="shared" si="1"/>
        <v>86</v>
      </c>
      <c r="B91" s="56" t="s">
        <v>454</v>
      </c>
      <c r="C91" s="56" t="str">
        <f>VLOOKUP(B91,LINGUA!$B:$H,2,0)</f>
        <v>humiSteam Basic 10 kg/h, 230V 3~, ON/OFF or proportional, cleanable cylinder</v>
      </c>
      <c r="D91" s="644">
        <v>1336</v>
      </c>
      <c r="E91" s="595"/>
      <c r="F91" s="648">
        <f>IF(SELECTION!$C$46="Eur",CODICI!D91,CODICI!D91*SELECTION!$C$48)</f>
        <v>1336</v>
      </c>
    </row>
    <row r="92" spans="1:6" x14ac:dyDescent="0.2">
      <c r="A92" s="54">
        <f t="shared" si="1"/>
        <v>87</v>
      </c>
      <c r="B92" s="56" t="s">
        <v>343</v>
      </c>
      <c r="C92" s="56" t="str">
        <f>VLOOKUP(B92,LINGUA!$B:$H,2,0)</f>
        <v>humiSteam Basic 10 kg/h, 400V 3~, ON/OFF or proportional, disposable cylinder</v>
      </c>
      <c r="D92" s="644">
        <v>1250</v>
      </c>
      <c r="E92" s="595"/>
      <c r="F92" s="648">
        <f>IF(SELECTION!$C$46="Eur",CODICI!D92,CODICI!D92*SELECTION!$C$48)</f>
        <v>1250</v>
      </c>
    </row>
    <row r="93" spans="1:6" x14ac:dyDescent="0.2">
      <c r="A93" s="54">
        <f t="shared" si="1"/>
        <v>88</v>
      </c>
      <c r="B93" s="56" t="s">
        <v>455</v>
      </c>
      <c r="C93" s="56" t="str">
        <f>VLOOKUP(B93,LINGUA!$B:$H,2,0)</f>
        <v>humiSteam Basic 10 kg/h, 400V 3~, ON/OFF or proportional, cleanable cylinder</v>
      </c>
      <c r="D93" s="644">
        <v>1336</v>
      </c>
      <c r="E93" s="595"/>
      <c r="F93" s="648">
        <f>IF(SELECTION!$C$46="Eur",CODICI!D93,CODICI!D93*SELECTION!$C$48)</f>
        <v>1336</v>
      </c>
    </row>
    <row r="94" spans="1:6" x14ac:dyDescent="0.2">
      <c r="A94" s="54">
        <f t="shared" si="1"/>
        <v>89</v>
      </c>
      <c r="B94" s="56" t="s">
        <v>344</v>
      </c>
      <c r="C94" s="56" t="str">
        <f>VLOOKUP(B94,LINGUA!$B:$H,2,0)</f>
        <v>humiSteam Basic 10 kg/h, 460V 3~, ON/OFF or proportional, disposable cylinder</v>
      </c>
      <c r="D94" s="644">
        <v>1251</v>
      </c>
      <c r="E94" s="595"/>
      <c r="F94" s="648">
        <f>IF(SELECTION!$C$46="Eur",CODICI!D94,CODICI!D94*SELECTION!$C$48)</f>
        <v>1251</v>
      </c>
    </row>
    <row r="95" spans="1:6" x14ac:dyDescent="0.2">
      <c r="A95" s="54">
        <f t="shared" si="1"/>
        <v>90</v>
      </c>
      <c r="B95" s="56" t="s">
        <v>456</v>
      </c>
      <c r="C95" s="56" t="str">
        <f>VLOOKUP(B95,LINGUA!$B:$H,2,0)</f>
        <v>humiSteam Basic 10 kg/h, 460V 3~, ON/OFF or proportional, cleanable cylinder</v>
      </c>
      <c r="D95" s="644">
        <v>1336</v>
      </c>
      <c r="E95" s="595"/>
      <c r="F95" s="648">
        <f>IF(SELECTION!$C$46="Eur",CODICI!D95,CODICI!D95*SELECTION!$C$48)</f>
        <v>1336</v>
      </c>
    </row>
    <row r="96" spans="1:6" x14ac:dyDescent="0.2">
      <c r="A96" s="54">
        <f t="shared" si="1"/>
        <v>91</v>
      </c>
      <c r="B96" s="56" t="s">
        <v>345</v>
      </c>
      <c r="C96" s="56" t="str">
        <f>VLOOKUP(B96,LINGUA!$B:$H,2,0)</f>
        <v>humiSteam Basic 10 kg/h, 575V 3~, ON/OFF or proportional, disposable cylinder</v>
      </c>
      <c r="D96" s="644">
        <v>1251</v>
      </c>
      <c r="E96" s="595"/>
      <c r="F96" s="648">
        <f>IF(SELECTION!$C$46="Eur",CODICI!D96,CODICI!D96*SELECTION!$C$48)</f>
        <v>1251</v>
      </c>
    </row>
    <row r="97" spans="1:6" x14ac:dyDescent="0.2">
      <c r="A97" s="54">
        <f t="shared" si="1"/>
        <v>92</v>
      </c>
      <c r="B97" s="56" t="s">
        <v>457</v>
      </c>
      <c r="C97" s="56" t="str">
        <f>VLOOKUP(B97,LINGUA!$B:$H,2,0)</f>
        <v>humiSteam Basic 10 kg/h, 575V 3~, ON/OFF or proportional, cleanable cylinder</v>
      </c>
      <c r="D97" s="644">
        <v>1336</v>
      </c>
      <c r="E97" s="595"/>
      <c r="F97" s="648">
        <f>IF(SELECTION!$C$46="Eur",CODICI!D97,CODICI!D97*SELECTION!$C$48)</f>
        <v>1336</v>
      </c>
    </row>
    <row r="98" spans="1:6" x14ac:dyDescent="0.2">
      <c r="A98" s="54">
        <f t="shared" si="1"/>
        <v>93</v>
      </c>
      <c r="B98" s="56" t="s">
        <v>346</v>
      </c>
      <c r="C98" s="56" t="str">
        <f>VLOOKUP(B98,LINGUA!$B:$H,2,0)</f>
        <v>humiSteam Basic 10 kg/h, 208V 3~, ON/OFF or proportional, disposable cylinder</v>
      </c>
      <c r="D98" s="644">
        <v>1251</v>
      </c>
      <c r="E98" s="595"/>
      <c r="F98" s="648">
        <f>IF(SELECTION!$C$46="Eur",CODICI!D98,CODICI!D98*SELECTION!$C$48)</f>
        <v>1251</v>
      </c>
    </row>
    <row r="99" spans="1:6" x14ac:dyDescent="0.2">
      <c r="A99" s="54">
        <f t="shared" si="1"/>
        <v>94</v>
      </c>
      <c r="B99" s="56" t="s">
        <v>458</v>
      </c>
      <c r="C99" s="56" t="str">
        <f>VLOOKUP(B99,LINGUA!$B:$H,2,0)</f>
        <v>humiSteam Basic 10 kg/h, 208V 3~, ON/OFF or proportional, cleanable cylinder</v>
      </c>
      <c r="D99" s="644">
        <v>1336</v>
      </c>
      <c r="E99" s="595"/>
      <c r="F99" s="648">
        <f>IF(SELECTION!$C$46="Eur",CODICI!D99,CODICI!D99*SELECTION!$C$48)</f>
        <v>1336</v>
      </c>
    </row>
    <row r="100" spans="1:6" x14ac:dyDescent="0.2">
      <c r="A100" s="54">
        <f t="shared" si="1"/>
        <v>95</v>
      </c>
      <c r="B100" s="56" t="s">
        <v>347</v>
      </c>
      <c r="C100" s="56" t="str">
        <f>VLOOKUP(B100,LINGUA!$B:$H,2,0)</f>
        <v>humiSteam Basic 15 kg/h, 230V 3~, ON/OFF or proportional, disposable cylinder</v>
      </c>
      <c r="D100" s="644">
        <v>1293</v>
      </c>
      <c r="E100" s="595"/>
      <c r="F100" s="648">
        <f>IF(SELECTION!$C$46="Eur",CODICI!D100,CODICI!D100*SELECTION!$C$48)</f>
        <v>1293</v>
      </c>
    </row>
    <row r="101" spans="1:6" x14ac:dyDescent="0.2">
      <c r="A101" s="54">
        <f t="shared" si="1"/>
        <v>96</v>
      </c>
      <c r="B101" s="56" t="s">
        <v>459</v>
      </c>
      <c r="C101" s="56" t="str">
        <f>VLOOKUP(B101,LINGUA!$B:$H,2,0)</f>
        <v>humiSteam Basic 15 kg/h, 230V 3~, ON/OFF or proportional, cleanable cylinder</v>
      </c>
      <c r="D101" s="644">
        <v>1377</v>
      </c>
      <c r="E101" s="595"/>
      <c r="F101" s="648">
        <f>IF(SELECTION!$C$46="Eur",CODICI!D101,CODICI!D101*SELECTION!$C$48)</f>
        <v>1377</v>
      </c>
    </row>
    <row r="102" spans="1:6" x14ac:dyDescent="0.2">
      <c r="A102" s="54">
        <f t="shared" si="1"/>
        <v>97</v>
      </c>
      <c r="B102" s="56" t="s">
        <v>348</v>
      </c>
      <c r="C102" s="56" t="str">
        <f>VLOOKUP(B102,LINGUA!$B:$H,2,0)</f>
        <v>humiSteam Basic 15 kg/h, 400V 3~, ON/OFF or proportional, disposable cylinder</v>
      </c>
      <c r="D102" s="644">
        <v>1293</v>
      </c>
      <c r="E102" s="595"/>
      <c r="F102" s="648">
        <f>IF(SELECTION!$C$46="Eur",CODICI!D102,CODICI!D102*SELECTION!$C$48)</f>
        <v>1293</v>
      </c>
    </row>
    <row r="103" spans="1:6" x14ac:dyDescent="0.2">
      <c r="A103" s="54">
        <f t="shared" si="1"/>
        <v>98</v>
      </c>
      <c r="B103" s="56" t="s">
        <v>460</v>
      </c>
      <c r="C103" s="56" t="str">
        <f>VLOOKUP(B103,LINGUA!$B:$H,2,0)</f>
        <v>humiSteam Basic 15 kg/h, 400V 3~, ON/OFF or proportional, cleanable cylinder</v>
      </c>
      <c r="D103" s="644">
        <v>1377</v>
      </c>
      <c r="E103" s="595"/>
      <c r="F103" s="648">
        <f>IF(SELECTION!$C$46="Eur",CODICI!D103,CODICI!D103*SELECTION!$C$48)</f>
        <v>1377</v>
      </c>
    </row>
    <row r="104" spans="1:6" x14ac:dyDescent="0.2">
      <c r="A104" s="54">
        <f t="shared" si="1"/>
        <v>99</v>
      </c>
      <c r="B104" s="56" t="s">
        <v>349</v>
      </c>
      <c r="C104" s="56" t="str">
        <f>VLOOKUP(B104,LINGUA!$B:$H,2,0)</f>
        <v>humiSteam Basic 15 kg/h, 460V 3~, ON/OFF or proportional, disposable cylinder</v>
      </c>
      <c r="D104" s="644">
        <v>1293</v>
      </c>
      <c r="E104" s="595"/>
      <c r="F104" s="648">
        <f>IF(SELECTION!$C$46="Eur",CODICI!D104,CODICI!D104*SELECTION!$C$48)</f>
        <v>1293</v>
      </c>
    </row>
    <row r="105" spans="1:6" x14ac:dyDescent="0.2">
      <c r="A105" s="54">
        <f t="shared" si="1"/>
        <v>100</v>
      </c>
      <c r="B105" s="56" t="s">
        <v>461</v>
      </c>
      <c r="C105" s="56" t="str">
        <f>VLOOKUP(B105,LINGUA!$B:$H,2,0)</f>
        <v>humiSteam Basic 15 kg/h, 460V 3~, ON/OFF or proportional, cleanable cylinder</v>
      </c>
      <c r="D105" s="644">
        <v>1377</v>
      </c>
      <c r="E105" s="595"/>
      <c r="F105" s="648">
        <f>IF(SELECTION!$C$46="Eur",CODICI!D105,CODICI!D105*SELECTION!$C$48)</f>
        <v>1377</v>
      </c>
    </row>
    <row r="106" spans="1:6" x14ac:dyDescent="0.2">
      <c r="A106" s="54">
        <f t="shared" si="1"/>
        <v>101</v>
      </c>
      <c r="B106" s="56" t="s">
        <v>350</v>
      </c>
      <c r="C106" s="56" t="str">
        <f>VLOOKUP(B106,LINGUA!$B:$H,2,0)</f>
        <v>humiSteam Basic 15 kg/h, 575V 3~, ON/OFF or proportional, disposable cylinder</v>
      </c>
      <c r="D106" s="644">
        <v>1293</v>
      </c>
      <c r="E106" s="595"/>
      <c r="F106" s="648">
        <f>IF(SELECTION!$C$46="Eur",CODICI!D106,CODICI!D106*SELECTION!$C$48)</f>
        <v>1293</v>
      </c>
    </row>
    <row r="107" spans="1:6" x14ac:dyDescent="0.2">
      <c r="A107" s="54">
        <f t="shared" si="1"/>
        <v>102</v>
      </c>
      <c r="B107" s="56" t="s">
        <v>462</v>
      </c>
      <c r="C107" s="56" t="str">
        <f>VLOOKUP(B107,LINGUA!$B:$H,2,0)</f>
        <v>humiSteam Basic 15 kg/h, 575V 3~, ON/OFF or proportional, cleanable cylinder</v>
      </c>
      <c r="D107" s="644">
        <v>1377</v>
      </c>
      <c r="E107" s="595"/>
      <c r="F107" s="648">
        <f>IF(SELECTION!$C$46="Eur",CODICI!D107,CODICI!D107*SELECTION!$C$48)</f>
        <v>1377</v>
      </c>
    </row>
    <row r="108" spans="1:6" x14ac:dyDescent="0.2">
      <c r="A108" s="54">
        <f t="shared" si="1"/>
        <v>103</v>
      </c>
      <c r="B108" s="56" t="s">
        <v>351</v>
      </c>
      <c r="C108" s="56" t="str">
        <f>VLOOKUP(B108,LINGUA!$B:$H,2,0)</f>
        <v>humiSteam Basic 15 kg/h, 208V 3~, ON/OFF or proportional, disposable cylinder</v>
      </c>
      <c r="D108" s="644">
        <v>1293</v>
      </c>
      <c r="E108" s="595"/>
      <c r="F108" s="648">
        <f>IF(SELECTION!$C$46="Eur",CODICI!D108,CODICI!D108*SELECTION!$C$48)</f>
        <v>1293</v>
      </c>
    </row>
    <row r="109" spans="1:6" x14ac:dyDescent="0.2">
      <c r="A109" s="54">
        <f t="shared" si="1"/>
        <v>104</v>
      </c>
      <c r="B109" s="56" t="s">
        <v>463</v>
      </c>
      <c r="C109" s="56" t="str">
        <f>VLOOKUP(B109,LINGUA!$B:$H,2,0)</f>
        <v>humiSteam Basic 15 kg/h, 208V 3~, ON/OFF or proportional, cleanable cylinder</v>
      </c>
      <c r="D109" s="644">
        <v>1377</v>
      </c>
      <c r="E109" s="595"/>
      <c r="F109" s="648">
        <f>IF(SELECTION!$C$46="Eur",CODICI!D109,CODICI!D109*SELECTION!$C$48)</f>
        <v>1377</v>
      </c>
    </row>
    <row r="110" spans="1:6" x14ac:dyDescent="0.2">
      <c r="A110" s="54">
        <f t="shared" si="1"/>
        <v>105</v>
      </c>
      <c r="B110" s="56" t="s">
        <v>352</v>
      </c>
      <c r="C110" s="56" t="str">
        <f>VLOOKUP(B110,LINGUA!$B:$H,2,0)</f>
        <v>humiSteam Basic 18 kg/h, 400V 3~, ON/OFF or proportional, disposable cylinder</v>
      </c>
      <c r="D110" s="644">
        <v>1330</v>
      </c>
      <c r="E110" s="595"/>
      <c r="F110" s="648">
        <f>IF(SELECTION!$C$46="Eur",CODICI!D110,CODICI!D110*SELECTION!$C$48)</f>
        <v>1330</v>
      </c>
    </row>
    <row r="111" spans="1:6" x14ac:dyDescent="0.2">
      <c r="A111" s="54">
        <f t="shared" si="1"/>
        <v>106</v>
      </c>
      <c r="B111" s="56" t="s">
        <v>464</v>
      </c>
      <c r="C111" s="56" t="str">
        <f>VLOOKUP(B111,LINGUA!$B:$H,2,0)</f>
        <v>humiSteam Basic 18 kg/h, 400V 3~, ON/OFF or proportional, cleanable cylinder</v>
      </c>
      <c r="D111" s="644">
        <v>1395</v>
      </c>
      <c r="E111" s="595"/>
      <c r="F111" s="648">
        <f>IF(SELECTION!$C$46="Eur",CODICI!D111,CODICI!D111*SELECTION!$C$48)</f>
        <v>1395</v>
      </c>
    </row>
    <row r="112" spans="1:6" x14ac:dyDescent="0.2">
      <c r="A112" s="54">
        <f t="shared" si="1"/>
        <v>107</v>
      </c>
      <c r="B112" s="56" t="s">
        <v>353</v>
      </c>
      <c r="C112" s="56" t="str">
        <f>VLOOKUP(B112,LINGUA!$B:$H,2,0)</f>
        <v>humiSteam Basic 18 kg/h, 460V 3~, ON/OFF or proportional, disposable cylinder</v>
      </c>
      <c r="D112" s="644">
        <v>1330</v>
      </c>
      <c r="E112" s="595"/>
      <c r="F112" s="648">
        <f>IF(SELECTION!$C$46="Eur",CODICI!D112,CODICI!D112*SELECTION!$C$48)</f>
        <v>1330</v>
      </c>
    </row>
    <row r="113" spans="1:6" x14ac:dyDescent="0.2">
      <c r="A113" s="54">
        <f t="shared" si="1"/>
        <v>108</v>
      </c>
      <c r="B113" s="41" t="s">
        <v>465</v>
      </c>
      <c r="C113" s="56" t="str">
        <f>VLOOKUP(B113,LINGUA!$B:$H,2,0)</f>
        <v>humiSteam Basic 18 kg/h, 460V 3~, ON/OFF or proportional, cleanable cylinder</v>
      </c>
      <c r="D113" s="644">
        <v>1395</v>
      </c>
      <c r="E113" s="595"/>
      <c r="F113" s="648">
        <f>IF(SELECTION!$C$46="Eur",CODICI!D113,CODICI!D113*SELECTION!$C$48)</f>
        <v>1395</v>
      </c>
    </row>
    <row r="114" spans="1:6" x14ac:dyDescent="0.2">
      <c r="A114" s="54">
        <f t="shared" si="1"/>
        <v>109</v>
      </c>
      <c r="B114" s="41" t="s">
        <v>354</v>
      </c>
      <c r="C114" s="56" t="str">
        <f>VLOOKUP(B114,LINGUA!$B:$H,2,0)</f>
        <v>humiSteam Basic 18 kg/h, 575V 3~, ON/OFF or proportional, disposable cylinder</v>
      </c>
      <c r="D114" s="644">
        <v>1330</v>
      </c>
      <c r="E114" s="595"/>
      <c r="F114" s="648">
        <f>IF(SELECTION!$C$46="Eur",CODICI!D114,CODICI!D114*SELECTION!$C$48)</f>
        <v>1330</v>
      </c>
    </row>
    <row r="115" spans="1:6" x14ac:dyDescent="0.2">
      <c r="A115" s="54">
        <f t="shared" si="1"/>
        <v>110</v>
      </c>
      <c r="B115" s="41" t="s">
        <v>466</v>
      </c>
      <c r="C115" s="56" t="str">
        <f>VLOOKUP(B115,LINGUA!$B:$H,2,0)</f>
        <v>humiSteam Basic 18 kg/h, 575V 3~, ON/OFF or proportional, cleanable cylinder</v>
      </c>
      <c r="D115" s="644">
        <v>1395</v>
      </c>
      <c r="E115" s="595"/>
      <c r="F115" s="648">
        <f>IF(SELECTION!$C$46="Eur",CODICI!D115,CODICI!D115*SELECTION!$C$48)</f>
        <v>1395</v>
      </c>
    </row>
    <row r="116" spans="1:6" x14ac:dyDescent="0.2">
      <c r="A116" s="54">
        <f t="shared" si="1"/>
        <v>111</v>
      </c>
      <c r="B116" s="41" t="s">
        <v>355</v>
      </c>
      <c r="C116" s="56" t="str">
        <f>VLOOKUP(B116,LINGUA!$B:$H,2,0)</f>
        <v>humiSteam Basic 25 kg/h, 230V 3~, ON/OFF or proportional, disposable cylinder</v>
      </c>
      <c r="D116" s="644">
        <v>1727</v>
      </c>
      <c r="E116" s="595"/>
      <c r="F116" s="648">
        <f>IF(SELECTION!$C$46="Eur",CODICI!D116,CODICI!D116*SELECTION!$C$48)</f>
        <v>1727</v>
      </c>
    </row>
    <row r="117" spans="1:6" x14ac:dyDescent="0.2">
      <c r="A117" s="54">
        <f t="shared" si="1"/>
        <v>112</v>
      </c>
      <c r="B117" s="41" t="s">
        <v>467</v>
      </c>
      <c r="C117" s="56" t="str">
        <f>VLOOKUP(B117,LINGUA!$B:$H,2,0)</f>
        <v>humiSteam Basic 25 kg/h, 230V 3~, ON/OFF or proportional, cleanable cylinder</v>
      </c>
      <c r="D117" s="644">
        <v>1804</v>
      </c>
      <c r="E117" s="595"/>
      <c r="F117" s="648">
        <f>IF(SELECTION!$C$46="Eur",CODICI!D117,CODICI!D117*SELECTION!$C$48)</f>
        <v>1804</v>
      </c>
    </row>
    <row r="118" spans="1:6" x14ac:dyDescent="0.2">
      <c r="A118" s="54">
        <f t="shared" si="1"/>
        <v>113</v>
      </c>
      <c r="B118" s="41" t="s">
        <v>356</v>
      </c>
      <c r="C118" s="56" t="str">
        <f>VLOOKUP(B118,LINGUA!$B:$H,2,0)</f>
        <v>humiSteam Basic 25 kg/h, 400V 3~, ON/OFF or proportional, disposable cylinder</v>
      </c>
      <c r="D118" s="644">
        <v>1727</v>
      </c>
      <c r="E118" s="595"/>
      <c r="F118" s="648">
        <f>IF(SELECTION!$C$46="Eur",CODICI!D118,CODICI!D118*SELECTION!$C$48)</f>
        <v>1727</v>
      </c>
    </row>
    <row r="119" spans="1:6" x14ac:dyDescent="0.2">
      <c r="A119" s="54">
        <f t="shared" si="1"/>
        <v>114</v>
      </c>
      <c r="B119" s="41" t="s">
        <v>468</v>
      </c>
      <c r="C119" s="56" t="str">
        <f>VLOOKUP(B119,LINGUA!$B:$H,2,0)</f>
        <v>humiSteam Basic 25 kg/h, 400V 3~, ON/OFF or proportional, cleanable cylinder</v>
      </c>
      <c r="D119" s="644">
        <v>1804</v>
      </c>
      <c r="E119" s="595"/>
      <c r="F119" s="648">
        <f>IF(SELECTION!$C$46="Eur",CODICI!D119,CODICI!D119*SELECTION!$C$48)</f>
        <v>1804</v>
      </c>
    </row>
    <row r="120" spans="1:6" x14ac:dyDescent="0.2">
      <c r="A120" s="54">
        <f t="shared" si="1"/>
        <v>115</v>
      </c>
      <c r="B120" s="41" t="s">
        <v>357</v>
      </c>
      <c r="C120" s="56" t="str">
        <f>VLOOKUP(B120,LINGUA!$B:$H,2,0)</f>
        <v>humiSteam Basic 25 kg/h, 460V 3~, ON/OFF or proportional, disposable cylinder</v>
      </c>
      <c r="D120" s="644">
        <v>1727</v>
      </c>
      <c r="E120" s="595"/>
      <c r="F120" s="648">
        <f>IF(SELECTION!$C$46="Eur",CODICI!D120,CODICI!D120*SELECTION!$C$48)</f>
        <v>1727</v>
      </c>
    </row>
    <row r="121" spans="1:6" x14ac:dyDescent="0.2">
      <c r="A121" s="54">
        <f t="shared" si="1"/>
        <v>116</v>
      </c>
      <c r="B121" s="41" t="s">
        <v>469</v>
      </c>
      <c r="C121" s="56" t="str">
        <f>VLOOKUP(B121,LINGUA!$B:$H,2,0)</f>
        <v>humiSteam Basic 25 kg/h, 460V 3~, ON/OFF or proportional, cleanable cylinder</v>
      </c>
      <c r="D121" s="644">
        <v>1804</v>
      </c>
      <c r="E121" s="595"/>
      <c r="F121" s="648">
        <f>IF(SELECTION!$C$46="Eur",CODICI!D121,CODICI!D121*SELECTION!$C$48)</f>
        <v>1804</v>
      </c>
    </row>
    <row r="122" spans="1:6" x14ac:dyDescent="0.2">
      <c r="A122" s="54">
        <f t="shared" si="1"/>
        <v>117</v>
      </c>
      <c r="B122" s="41" t="s">
        <v>358</v>
      </c>
      <c r="C122" s="56" t="str">
        <f>VLOOKUP(B122,LINGUA!$B:$H,2,0)</f>
        <v>humiSteam Basic 25 kg/h, 575V 3~, ON/OFF or proportional, disposable cylinder</v>
      </c>
      <c r="D122" s="644">
        <v>1727</v>
      </c>
      <c r="E122" s="595"/>
      <c r="F122" s="648">
        <f>IF(SELECTION!$C$46="Eur",CODICI!D122,CODICI!D122*SELECTION!$C$48)</f>
        <v>1727</v>
      </c>
    </row>
    <row r="123" spans="1:6" x14ac:dyDescent="0.2">
      <c r="A123" s="54">
        <f t="shared" si="1"/>
        <v>118</v>
      </c>
      <c r="B123" s="41" t="s">
        <v>470</v>
      </c>
      <c r="C123" s="56" t="str">
        <f>VLOOKUP(B123,LINGUA!$B:$H,2,0)</f>
        <v>humiSteam Basic 25 kg/h, 575V 3~, ON/OFF or proportional, cleanable cylinder</v>
      </c>
      <c r="D123" s="644">
        <v>1804</v>
      </c>
      <c r="E123" s="595"/>
      <c r="F123" s="648">
        <f>IF(SELECTION!$C$46="Eur",CODICI!D123,CODICI!D123*SELECTION!$C$48)</f>
        <v>1804</v>
      </c>
    </row>
    <row r="124" spans="1:6" x14ac:dyDescent="0.2">
      <c r="A124" s="54">
        <f t="shared" si="1"/>
        <v>119</v>
      </c>
      <c r="B124" s="41" t="s">
        <v>359</v>
      </c>
      <c r="C124" s="56" t="str">
        <f>VLOOKUP(B124,LINGUA!$B:$H,2,0)</f>
        <v>humiSteam Basic 25 kg/h, 208V 3~, ON/OFF or proportional, disposable cylinder</v>
      </c>
      <c r="D124" s="644">
        <v>1727</v>
      </c>
      <c r="E124" s="595"/>
      <c r="F124" s="648">
        <f>IF(SELECTION!$C$46="Eur",CODICI!D124,CODICI!D124*SELECTION!$C$48)</f>
        <v>1727</v>
      </c>
    </row>
    <row r="125" spans="1:6" x14ac:dyDescent="0.2">
      <c r="A125" s="54">
        <f t="shared" si="1"/>
        <v>120</v>
      </c>
      <c r="B125" s="41" t="s">
        <v>471</v>
      </c>
      <c r="C125" s="56" t="str">
        <f>VLOOKUP(B125,LINGUA!$B:$H,2,0)</f>
        <v>humiSteam Basic 25 kg/h, 208V 3~, ON/OFF or proportional, cleanable cylinder</v>
      </c>
      <c r="D125" s="644">
        <v>1804</v>
      </c>
      <c r="E125" s="595"/>
      <c r="F125" s="648">
        <f>IF(SELECTION!$C$46="Eur",CODICI!D125,CODICI!D125*SELECTION!$C$48)</f>
        <v>1804</v>
      </c>
    </row>
    <row r="126" spans="1:6" x14ac:dyDescent="0.2">
      <c r="A126" s="54">
        <f t="shared" si="1"/>
        <v>121</v>
      </c>
      <c r="B126" s="41" t="s">
        <v>360</v>
      </c>
      <c r="C126" s="56" t="str">
        <f>VLOOKUP(B126,LINGUA!$B:$H,2,0)</f>
        <v>humiSteam Basic 35 kg/h, 230V 3~, ON/OFF or proportional, disposable cylinder</v>
      </c>
      <c r="D126" s="644">
        <v>1979</v>
      </c>
      <c r="E126" s="595"/>
      <c r="F126" s="648">
        <f>IF(SELECTION!$C$46="Eur",CODICI!D126,CODICI!D126*SELECTION!$C$48)</f>
        <v>1979</v>
      </c>
    </row>
    <row r="127" spans="1:6" x14ac:dyDescent="0.2">
      <c r="A127" s="54">
        <f t="shared" si="1"/>
        <v>122</v>
      </c>
      <c r="B127" s="41" t="s">
        <v>472</v>
      </c>
      <c r="C127" s="56" t="str">
        <f>VLOOKUP(B127,LINGUA!$B:$H,2,0)</f>
        <v>humiSteam Basic 35 kg/h, 230V 3~, ON/OFF or proportional, cleanable cylinder</v>
      </c>
      <c r="D127" s="644">
        <v>2047</v>
      </c>
      <c r="E127" s="595"/>
      <c r="F127" s="648">
        <f>IF(SELECTION!$C$46="Eur",CODICI!D127,CODICI!D127*SELECTION!$C$48)</f>
        <v>2047</v>
      </c>
    </row>
    <row r="128" spans="1:6" x14ac:dyDescent="0.2">
      <c r="A128" s="54">
        <f t="shared" si="1"/>
        <v>123</v>
      </c>
      <c r="B128" s="41" t="s">
        <v>361</v>
      </c>
      <c r="C128" s="56" t="str">
        <f>VLOOKUP(B128,LINGUA!$B:$H,2,0)</f>
        <v>humiSteam Basic 35 kg/h, 400V 3~, ON/OFF or proportional, disposable cylinder</v>
      </c>
      <c r="D128" s="644">
        <v>1979</v>
      </c>
      <c r="E128" s="595"/>
      <c r="F128" s="648">
        <f>IF(SELECTION!$C$46="Eur",CODICI!D128,CODICI!D128*SELECTION!$C$48)</f>
        <v>1979</v>
      </c>
    </row>
    <row r="129" spans="1:6" x14ac:dyDescent="0.2">
      <c r="A129" s="54">
        <f t="shared" si="1"/>
        <v>124</v>
      </c>
      <c r="B129" s="41" t="s">
        <v>473</v>
      </c>
      <c r="C129" s="56" t="str">
        <f>VLOOKUP(B129,LINGUA!$B:$H,2,0)</f>
        <v>humiSteam Basic 35 kg/h, 400V 3~, ON/OFF or proportional, cleanable cylinder</v>
      </c>
      <c r="D129" s="644">
        <v>2047</v>
      </c>
      <c r="E129" s="595"/>
      <c r="F129" s="648">
        <f>IF(SELECTION!$C$46="Eur",CODICI!D129,CODICI!D129*SELECTION!$C$48)</f>
        <v>2047</v>
      </c>
    </row>
    <row r="130" spans="1:6" x14ac:dyDescent="0.2">
      <c r="A130" s="54">
        <f t="shared" si="1"/>
        <v>125</v>
      </c>
      <c r="B130" s="41" t="s">
        <v>362</v>
      </c>
      <c r="C130" s="56" t="str">
        <f>VLOOKUP(B130,LINGUA!$B:$H,2,0)</f>
        <v>humiSteam Basic 35 kg/h, 460V 3~, ON/OFF or proportional, disposable cylinder</v>
      </c>
      <c r="D130" s="644">
        <v>1979</v>
      </c>
      <c r="E130" s="595"/>
      <c r="F130" s="648">
        <f>IF(SELECTION!$C$46="Eur",CODICI!D130,CODICI!D130*SELECTION!$C$48)</f>
        <v>1979</v>
      </c>
    </row>
    <row r="131" spans="1:6" x14ac:dyDescent="0.2">
      <c r="A131" s="54">
        <f t="shared" si="1"/>
        <v>126</v>
      </c>
      <c r="B131" s="41" t="s">
        <v>474</v>
      </c>
      <c r="C131" s="56" t="str">
        <f>VLOOKUP(B131,LINGUA!$B:$H,2,0)</f>
        <v>humiSteam Basic 35 kg/h, 460V 3~, ON/OFF or proportional, cleanable cylinder</v>
      </c>
      <c r="D131" s="644">
        <v>2047</v>
      </c>
      <c r="E131" s="595"/>
      <c r="F131" s="648">
        <f>IF(SELECTION!$C$46="Eur",CODICI!D131,CODICI!D131*SELECTION!$C$48)</f>
        <v>2047</v>
      </c>
    </row>
    <row r="132" spans="1:6" x14ac:dyDescent="0.2">
      <c r="A132" s="54">
        <f t="shared" si="1"/>
        <v>127</v>
      </c>
      <c r="B132" s="41" t="s">
        <v>363</v>
      </c>
      <c r="C132" s="56" t="str">
        <f>VLOOKUP(B132,LINGUA!$B:$H,2,0)</f>
        <v>humiSteam Basic 35 kg/h, 575V 3~, ON/OFF or proportional, disposable cylinder</v>
      </c>
      <c r="D132" s="644">
        <v>1979</v>
      </c>
      <c r="E132" s="595"/>
      <c r="F132" s="648">
        <f>IF(SELECTION!$C$46="Eur",CODICI!D132,CODICI!D132*SELECTION!$C$48)</f>
        <v>1979</v>
      </c>
    </row>
    <row r="133" spans="1:6" x14ac:dyDescent="0.2">
      <c r="A133" s="54">
        <f t="shared" si="1"/>
        <v>128</v>
      </c>
      <c r="B133" s="41" t="s">
        <v>475</v>
      </c>
      <c r="C133" s="56" t="str">
        <f>VLOOKUP(B133,LINGUA!$B:$H,2,0)</f>
        <v>humiSteam Basic 35 kg/h, 575V 3~, ON/OFF or proportional, cleanable cylinder</v>
      </c>
      <c r="D133" s="644">
        <v>2047</v>
      </c>
      <c r="E133" s="595"/>
      <c r="F133" s="648">
        <f>IF(SELECTION!$C$46="Eur",CODICI!D133,CODICI!D133*SELECTION!$C$48)</f>
        <v>2047</v>
      </c>
    </row>
    <row r="134" spans="1:6" x14ac:dyDescent="0.2">
      <c r="A134" s="54">
        <f t="shared" si="1"/>
        <v>129</v>
      </c>
      <c r="B134" s="41" t="s">
        <v>364</v>
      </c>
      <c r="C134" s="56" t="str">
        <f>VLOOKUP(B134,LINGUA!$B:$H,2,0)</f>
        <v>humiSteam Basic 35 kg/h, 208V 3~, ON/OFF or proportional, disposable cylinder</v>
      </c>
      <c r="D134" s="644">
        <v>1979</v>
      </c>
      <c r="E134" s="595"/>
      <c r="F134" s="648">
        <f>IF(SELECTION!$C$46="Eur",CODICI!D134,CODICI!D134*SELECTION!$C$48)</f>
        <v>1979</v>
      </c>
    </row>
    <row r="135" spans="1:6" x14ac:dyDescent="0.2">
      <c r="A135" s="54">
        <f t="shared" si="1"/>
        <v>130</v>
      </c>
      <c r="B135" s="41" t="s">
        <v>476</v>
      </c>
      <c r="C135" s="56" t="str">
        <f>VLOOKUP(B135,LINGUA!$B:$H,2,0)</f>
        <v>humiSteam Basic 35 kg/h, 208V 3~, ON/OFF or proportional, cleanable cylinder</v>
      </c>
      <c r="D135" s="644">
        <v>2047</v>
      </c>
      <c r="E135" s="595"/>
      <c r="F135" s="648">
        <f>IF(SELECTION!$C$46="Eur",CODICI!D135,CODICI!D135*SELECTION!$C$48)</f>
        <v>2047</v>
      </c>
    </row>
    <row r="136" spans="1:6" x14ac:dyDescent="0.2">
      <c r="A136" s="54">
        <f t="shared" ref="A136:A199" si="2">+A135+1</f>
        <v>131</v>
      </c>
      <c r="B136" s="41" t="s">
        <v>365</v>
      </c>
      <c r="C136" s="56" t="str">
        <f>VLOOKUP(B136,LINGUA!$B:$H,2,0)</f>
        <v>humiSteam Basic 45 kg/h, 230V 3~, ON/OFF or proportional, disposable cylinder</v>
      </c>
      <c r="D136" s="644">
        <v>2163</v>
      </c>
      <c r="E136" s="595"/>
      <c r="F136" s="648">
        <f>IF(SELECTION!$C$46="Eur",CODICI!D136,CODICI!D136*SELECTION!$C$48)</f>
        <v>2163</v>
      </c>
    </row>
    <row r="137" spans="1:6" x14ac:dyDescent="0.2">
      <c r="A137" s="54">
        <f t="shared" si="2"/>
        <v>132</v>
      </c>
      <c r="B137" s="41" t="s">
        <v>477</v>
      </c>
      <c r="C137" s="56" t="str">
        <f>VLOOKUP(B137,LINGUA!$B:$H,2,0)</f>
        <v>humiSteam Basic 45 kg/h, 230V 3~, ON/OFF or proportional, cleanable cylinder</v>
      </c>
      <c r="D137" s="644">
        <v>2232</v>
      </c>
      <c r="E137" s="595"/>
      <c r="F137" s="648">
        <f>IF(SELECTION!$C$46="Eur",CODICI!D137,CODICI!D137*SELECTION!$C$48)</f>
        <v>2232</v>
      </c>
    </row>
    <row r="138" spans="1:6" x14ac:dyDescent="0.2">
      <c r="A138" s="54">
        <f t="shared" si="2"/>
        <v>133</v>
      </c>
      <c r="B138" s="41" t="s">
        <v>366</v>
      </c>
      <c r="C138" s="56" t="str">
        <f>VLOOKUP(B138,LINGUA!$B:$H,2,0)</f>
        <v>humiSteam Basic 45 kg/h, 400V 3~, ON/OFF or proportional, disposable cylinder</v>
      </c>
      <c r="D138" s="644">
        <v>2162</v>
      </c>
      <c r="E138" s="595"/>
      <c r="F138" s="648">
        <f>IF(SELECTION!$C$46="Eur",CODICI!D138,CODICI!D138*SELECTION!$C$48)</f>
        <v>2162</v>
      </c>
    </row>
    <row r="139" spans="1:6" x14ac:dyDescent="0.2">
      <c r="A139" s="54">
        <f t="shared" si="2"/>
        <v>134</v>
      </c>
      <c r="B139" s="41" t="s">
        <v>478</v>
      </c>
      <c r="C139" s="56" t="str">
        <f>VLOOKUP(B139,LINGUA!$B:$H,2,0)</f>
        <v>humiSteam Basic 45 kg/h, 400V 3~, ON/OFF or proportional, cleanable cylinder</v>
      </c>
      <c r="D139" s="644">
        <v>2231</v>
      </c>
      <c r="E139" s="595"/>
      <c r="F139" s="648">
        <f>IF(SELECTION!$C$46="Eur",CODICI!D139,CODICI!D139*SELECTION!$C$48)</f>
        <v>2231</v>
      </c>
    </row>
    <row r="140" spans="1:6" x14ac:dyDescent="0.2">
      <c r="A140" s="54">
        <f t="shared" si="2"/>
        <v>135</v>
      </c>
      <c r="B140" s="41" t="s">
        <v>367</v>
      </c>
      <c r="C140" s="56" t="str">
        <f>VLOOKUP(B140,LINGUA!$B:$H,2,0)</f>
        <v>humiSteam Basic 45 kg/h, 460V 3~, ON/OFF or proportional, disposable cylinder</v>
      </c>
      <c r="D140" s="644">
        <v>2163</v>
      </c>
      <c r="E140" s="595"/>
      <c r="F140" s="648">
        <f>IF(SELECTION!$C$46="Eur",CODICI!D140,CODICI!D140*SELECTION!$C$48)</f>
        <v>2163</v>
      </c>
    </row>
    <row r="141" spans="1:6" x14ac:dyDescent="0.2">
      <c r="A141" s="54">
        <f t="shared" si="2"/>
        <v>136</v>
      </c>
      <c r="B141" s="41" t="s">
        <v>479</v>
      </c>
      <c r="C141" s="56" t="str">
        <f>VLOOKUP(B141,LINGUA!$B:$H,2,0)</f>
        <v>humiSteam Basic 45 kg/h, 460V 3~, ON/OFF or proportional, cleanable cylinder</v>
      </c>
      <c r="D141" s="644">
        <v>2232</v>
      </c>
      <c r="E141" s="595"/>
      <c r="F141" s="648">
        <f>IF(SELECTION!$C$46="Eur",CODICI!D141,CODICI!D141*SELECTION!$C$48)</f>
        <v>2232</v>
      </c>
    </row>
    <row r="142" spans="1:6" x14ac:dyDescent="0.2">
      <c r="A142" s="54">
        <f t="shared" si="2"/>
        <v>137</v>
      </c>
      <c r="B142" s="41" t="s">
        <v>368</v>
      </c>
      <c r="C142" s="56" t="str">
        <f>VLOOKUP(B142,LINGUA!$B:$H,2,0)</f>
        <v>humiSteam Basic 45 kg/h, 575V 3~, ON/OFF or proportional, disposable cylinder</v>
      </c>
      <c r="D142" s="644">
        <v>2163</v>
      </c>
      <c r="E142" s="595"/>
      <c r="F142" s="648">
        <f>IF(SELECTION!$C$46="Eur",CODICI!D142,CODICI!D142*SELECTION!$C$48)</f>
        <v>2163</v>
      </c>
    </row>
    <row r="143" spans="1:6" x14ac:dyDescent="0.2">
      <c r="A143" s="54">
        <f t="shared" si="2"/>
        <v>138</v>
      </c>
      <c r="B143" s="41" t="s">
        <v>480</v>
      </c>
      <c r="C143" s="56" t="str">
        <f>VLOOKUP(B143,LINGUA!$B:$H,2,0)</f>
        <v>humiSteam Basic 45 kg/h, 575V 3~, ON/OFF or proportional, cleanable cylinder</v>
      </c>
      <c r="D143" s="644">
        <v>2232</v>
      </c>
      <c r="E143" s="595"/>
      <c r="F143" s="648">
        <f>IF(SELECTION!$C$46="Eur",CODICI!D143,CODICI!D143*SELECTION!$C$48)</f>
        <v>2232</v>
      </c>
    </row>
    <row r="144" spans="1:6" x14ac:dyDescent="0.2">
      <c r="A144" s="54">
        <f t="shared" si="2"/>
        <v>139</v>
      </c>
      <c r="B144" s="41" t="s">
        <v>369</v>
      </c>
      <c r="C144" s="56" t="str">
        <f>VLOOKUP(B144,LINGUA!$B:$H,2,0)</f>
        <v>humiSteam Basic 45 kg/h, 208V 3~, ON/OFF or proportional, disposable cylinder</v>
      </c>
      <c r="D144" s="644">
        <v>2163</v>
      </c>
      <c r="E144" s="595"/>
      <c r="F144" s="648">
        <f>IF(SELECTION!$C$46="Eur",CODICI!D144,CODICI!D144*SELECTION!$C$48)</f>
        <v>2163</v>
      </c>
    </row>
    <row r="145" spans="1:6" x14ac:dyDescent="0.2">
      <c r="A145" s="54">
        <f t="shared" si="2"/>
        <v>140</v>
      </c>
      <c r="B145" s="41" t="s">
        <v>481</v>
      </c>
      <c r="C145" s="56" t="str">
        <f>VLOOKUP(B145,LINGUA!$B:$H,2,0)</f>
        <v>humiSteam Basic 45 kg/h, 208V 3~, ON/OFF or proportional, cleanable cylinder</v>
      </c>
      <c r="D145" s="644">
        <v>2232</v>
      </c>
      <c r="E145" s="595"/>
      <c r="F145" s="648">
        <f>IF(SELECTION!$C$46="Eur",CODICI!D145,CODICI!D145*SELECTION!$C$48)</f>
        <v>2232</v>
      </c>
    </row>
    <row r="146" spans="1:6" x14ac:dyDescent="0.2">
      <c r="A146" s="54">
        <f t="shared" si="2"/>
        <v>141</v>
      </c>
      <c r="B146" s="41" t="s">
        <v>370</v>
      </c>
      <c r="C146" s="56" t="str">
        <f>VLOOKUP(B146,LINGUA!$B:$H,2,0)</f>
        <v>humiSteam Basic 65 kg/h, 400V 3~, ON/OFF or proportional, disposable cylinder</v>
      </c>
      <c r="D146" s="644">
        <v>2609</v>
      </c>
      <c r="E146" s="595"/>
      <c r="F146" s="648">
        <f>IF(SELECTION!$C$46="Eur",CODICI!D146,CODICI!D146*SELECTION!$C$48)</f>
        <v>2609</v>
      </c>
    </row>
    <row r="147" spans="1:6" x14ac:dyDescent="0.2">
      <c r="A147" s="54">
        <f t="shared" si="2"/>
        <v>142</v>
      </c>
      <c r="B147" s="41" t="s">
        <v>482</v>
      </c>
      <c r="C147" s="56" t="str">
        <f>VLOOKUP(B147,LINGUA!$B:$H,2,0)</f>
        <v>humiSteam Basic 65 kg/h, 400V 3~, ON/OFF or proportional, cleanable cylinder</v>
      </c>
      <c r="D147" s="644">
        <v>2754</v>
      </c>
      <c r="E147" s="595"/>
      <c r="F147" s="648">
        <f>IF(SELECTION!$C$46="Eur",CODICI!D147,CODICI!D147*SELECTION!$C$48)</f>
        <v>2754</v>
      </c>
    </row>
    <row r="148" spans="1:6" x14ac:dyDescent="0.2">
      <c r="A148" s="54">
        <f t="shared" si="2"/>
        <v>143</v>
      </c>
      <c r="B148" s="41" t="s">
        <v>371</v>
      </c>
      <c r="C148" s="56" t="str">
        <f>VLOOKUP(B148,LINGUA!$B:$H,2,0)</f>
        <v>humiSteam Basic 65 kg/h, 460V 3~, ON/OFF or proportional, disposable cylinder</v>
      </c>
      <c r="D148" s="644">
        <v>2609</v>
      </c>
      <c r="E148" s="595"/>
      <c r="F148" s="648">
        <f>IF(SELECTION!$C$46="Eur",CODICI!D148,CODICI!D148*SELECTION!$C$48)</f>
        <v>2609</v>
      </c>
    </row>
    <row r="149" spans="1:6" x14ac:dyDescent="0.2">
      <c r="A149" s="54">
        <f t="shared" si="2"/>
        <v>144</v>
      </c>
      <c r="B149" s="41" t="s">
        <v>483</v>
      </c>
      <c r="C149" s="56" t="str">
        <f>VLOOKUP(B149,LINGUA!$B:$H,2,0)</f>
        <v>humiSteam Basic 65 kg/h, 460V 3~, ON/OFF or proportional, cleanable cylinder</v>
      </c>
      <c r="D149" s="644">
        <v>2754</v>
      </c>
      <c r="E149" s="595"/>
      <c r="F149" s="648">
        <f>IF(SELECTION!$C$46="Eur",CODICI!D149,CODICI!D149*SELECTION!$C$48)</f>
        <v>2754</v>
      </c>
    </row>
    <row r="150" spans="1:6" x14ac:dyDescent="0.2">
      <c r="A150" s="54">
        <f t="shared" si="2"/>
        <v>145</v>
      </c>
      <c r="B150" s="41" t="s">
        <v>372</v>
      </c>
      <c r="C150" s="56" t="str">
        <f>VLOOKUP(B150,LINGUA!$B:$H,2,0)</f>
        <v>humiSteam Basic 65 kg/h, 575V 3~, ON/OFF or proportional, disposable cylinder</v>
      </c>
      <c r="D150" s="644">
        <v>2609</v>
      </c>
      <c r="E150" s="595"/>
      <c r="F150" s="648">
        <f>IF(SELECTION!$C$46="Eur",CODICI!D150,CODICI!D150*SELECTION!$C$48)</f>
        <v>2609</v>
      </c>
    </row>
    <row r="151" spans="1:6" x14ac:dyDescent="0.2">
      <c r="A151" s="54">
        <f t="shared" si="2"/>
        <v>146</v>
      </c>
      <c r="B151" s="41" t="s">
        <v>484</v>
      </c>
      <c r="C151" s="56" t="str">
        <f>VLOOKUP(B151,LINGUA!$B:$H,2,0)</f>
        <v>humiSteam Basic 65 kg/h, 575V 3~, ON/OFF or proportional, cleanable cylinder</v>
      </c>
      <c r="D151" s="644">
        <v>2754</v>
      </c>
      <c r="E151" s="595"/>
      <c r="F151" s="648">
        <f>IF(SELECTION!$C$46="Eur",CODICI!D151,CODICI!D151*SELECTION!$C$48)</f>
        <v>2754</v>
      </c>
    </row>
    <row r="152" spans="1:6" x14ac:dyDescent="0.2">
      <c r="A152" s="54">
        <f t="shared" si="2"/>
        <v>147</v>
      </c>
      <c r="B152" s="41" t="s">
        <v>373</v>
      </c>
      <c r="C152" s="56" t="str">
        <f>VLOOKUP(B152,LINGUA!$B:$H,2,0)</f>
        <v>humiSteam X-plus 1,5 kg/h, 230Vac 1~, with regulation, disposable cylinder</v>
      </c>
      <c r="D152" s="644">
        <v>1063</v>
      </c>
      <c r="E152" s="595"/>
      <c r="F152" s="648">
        <f>IF(SELECTION!$C$46="Eur",CODICI!D152,CODICI!D152*SELECTION!$C$48)</f>
        <v>1063</v>
      </c>
    </row>
    <row r="153" spans="1:6" x14ac:dyDescent="0.2">
      <c r="A153" s="54">
        <f t="shared" si="2"/>
        <v>148</v>
      </c>
      <c r="B153" s="41" t="s">
        <v>485</v>
      </c>
      <c r="C153" s="56" t="str">
        <f>VLOOKUP(B153,LINGUA!$B:$H,2,0)</f>
        <v>humiSteam X-plus 1,5 kg/h, 230Vac 1~, with regulation, cleanable cylinder</v>
      </c>
      <c r="D153" s="644">
        <v>1101</v>
      </c>
      <c r="E153" s="595"/>
      <c r="F153" s="648">
        <f>IF(SELECTION!$C$46="Eur",CODICI!D153,CODICI!D153*SELECTION!$C$48)</f>
        <v>1101</v>
      </c>
    </row>
    <row r="154" spans="1:6" x14ac:dyDescent="0.2">
      <c r="A154" s="54">
        <f t="shared" si="2"/>
        <v>149</v>
      </c>
      <c r="B154" s="41" t="s">
        <v>374</v>
      </c>
      <c r="C154" s="56" t="str">
        <f>VLOOKUP(B154,LINGUA!$B:$H,2,0)</f>
        <v>humiSteam X-plus 1,5 kg/h, 208Vac 1~, with regulation, disposable cylinder</v>
      </c>
      <c r="D154" s="644">
        <v>1063</v>
      </c>
      <c r="E154" s="595"/>
      <c r="F154" s="648">
        <f>IF(SELECTION!$C$46="Eur",CODICI!D154,CODICI!D154*SELECTION!$C$48)</f>
        <v>1063</v>
      </c>
    </row>
    <row r="155" spans="1:6" x14ac:dyDescent="0.2">
      <c r="A155" s="54">
        <f t="shared" si="2"/>
        <v>150</v>
      </c>
      <c r="B155" s="41" t="s">
        <v>486</v>
      </c>
      <c r="C155" s="56" t="str">
        <f>VLOOKUP(B155,LINGUA!$B:$H,2,0)</f>
        <v>humiSteam X-plus 1,5 kg/h, 208Vac 1~, with regulation, cleanable cylinder</v>
      </c>
      <c r="D155" s="644">
        <v>1101</v>
      </c>
      <c r="E155" s="595"/>
      <c r="F155" s="648">
        <f>IF(SELECTION!$C$46="Eur",CODICI!D155,CODICI!D155*SELECTION!$C$48)</f>
        <v>1101</v>
      </c>
    </row>
    <row r="156" spans="1:6" x14ac:dyDescent="0.2">
      <c r="A156" s="54">
        <f t="shared" si="2"/>
        <v>151</v>
      </c>
      <c r="B156" s="41" t="s">
        <v>375</v>
      </c>
      <c r="C156" s="56" t="str">
        <f>VLOOKUP(B156,LINGUA!$B:$H,2,0)</f>
        <v>humiSteam X-plus 3 kg/h, 230Vac 1~, with regulation, disposable cylinder</v>
      </c>
      <c r="D156" s="644">
        <v>1210</v>
      </c>
      <c r="E156" s="595"/>
      <c r="F156" s="648">
        <f>IF(SELECTION!$C$46="Eur",CODICI!D156,CODICI!D156*SELECTION!$C$48)</f>
        <v>1210</v>
      </c>
    </row>
    <row r="157" spans="1:6" x14ac:dyDescent="0.2">
      <c r="A157" s="54">
        <f t="shared" si="2"/>
        <v>152</v>
      </c>
      <c r="B157" s="41" t="s">
        <v>487</v>
      </c>
      <c r="C157" s="56" t="str">
        <f>VLOOKUP(B157,LINGUA!$B:$H,2,0)</f>
        <v>humiSteam X-plus 3 kg/h, 230Vac 1~, with regulation, cleanable cylinder</v>
      </c>
      <c r="D157" s="644">
        <v>1248</v>
      </c>
      <c r="E157" s="595"/>
      <c r="F157" s="648">
        <f>IF(SELECTION!$C$46="Eur",CODICI!D157,CODICI!D157*SELECTION!$C$48)</f>
        <v>1248</v>
      </c>
    </row>
    <row r="158" spans="1:6" x14ac:dyDescent="0.2">
      <c r="A158" s="54">
        <f t="shared" si="2"/>
        <v>153</v>
      </c>
      <c r="B158" s="41" t="s">
        <v>376</v>
      </c>
      <c r="C158" s="56" t="str">
        <f>VLOOKUP(B158,LINGUA!$B:$H,2,0)</f>
        <v>humiSteam X-plus 3 kg/h, 230Vac 3~, with regulation, disposable cylinder</v>
      </c>
      <c r="D158" s="644">
        <v>1211</v>
      </c>
      <c r="E158" s="595"/>
      <c r="F158" s="648">
        <f>IF(SELECTION!$C$46="Eur",CODICI!D158,CODICI!D158*SELECTION!$C$48)</f>
        <v>1211</v>
      </c>
    </row>
    <row r="159" spans="1:6" x14ac:dyDescent="0.2">
      <c r="A159" s="54">
        <f t="shared" si="2"/>
        <v>154</v>
      </c>
      <c r="B159" s="41" t="s">
        <v>488</v>
      </c>
      <c r="C159" s="56" t="str">
        <f>VLOOKUP(B159,LINGUA!$B:$H,2,0)</f>
        <v>humiSteam X-plus 3 kg/h, 230Vac 3~, with regulation, cleanable cylinder</v>
      </c>
      <c r="D159" s="644">
        <v>1242</v>
      </c>
      <c r="E159" s="595"/>
      <c r="F159" s="648">
        <f>IF(SELECTION!$C$46="Eur",CODICI!D159,CODICI!D159*SELECTION!$C$48)</f>
        <v>1242</v>
      </c>
    </row>
    <row r="160" spans="1:6" x14ac:dyDescent="0.2">
      <c r="A160" s="54">
        <f t="shared" si="2"/>
        <v>155</v>
      </c>
      <c r="B160" s="41" t="s">
        <v>377</v>
      </c>
      <c r="C160" s="56" t="str">
        <f>VLOOKUP(B160,LINGUA!$B:$H,2,0)</f>
        <v>humiSteam X-plus 3 kg/h, 400Vac 3~, with regulation, disposable cylinder</v>
      </c>
      <c r="D160" s="644">
        <v>1210</v>
      </c>
      <c r="E160" s="595"/>
      <c r="F160" s="648">
        <f>IF(SELECTION!$C$46="Eur",CODICI!D160,CODICI!D160*SELECTION!$C$48)</f>
        <v>1210</v>
      </c>
    </row>
    <row r="161" spans="1:6" x14ac:dyDescent="0.2">
      <c r="A161" s="54">
        <f t="shared" si="2"/>
        <v>156</v>
      </c>
      <c r="B161" s="41" t="s">
        <v>489</v>
      </c>
      <c r="C161" s="56" t="str">
        <f>VLOOKUP(B161,LINGUA!$B:$H,2,0)</f>
        <v>humiSteam X-plus 3 kg/h, 400Vac 3~, with regulation, cleanable cylinder</v>
      </c>
      <c r="D161" s="644">
        <v>1241</v>
      </c>
      <c r="E161" s="595"/>
      <c r="F161" s="648">
        <f>IF(SELECTION!$C$46="Eur",CODICI!D161,CODICI!D161*SELECTION!$C$48)</f>
        <v>1241</v>
      </c>
    </row>
    <row r="162" spans="1:6" x14ac:dyDescent="0.2">
      <c r="A162" s="54">
        <f t="shared" si="2"/>
        <v>157</v>
      </c>
      <c r="B162" s="41" t="s">
        <v>378</v>
      </c>
      <c r="C162" s="56" t="str">
        <f>VLOOKUP(B162,LINGUA!$B:$H,2,0)</f>
        <v>humiSteam X-plus 3 kg/h, 460Vac 3~, with regulation, disposable cylinder</v>
      </c>
      <c r="D162" s="644">
        <v>1211</v>
      </c>
      <c r="E162" s="595"/>
      <c r="F162" s="648">
        <f>IF(SELECTION!$C$46="Eur",CODICI!D162,CODICI!D162*SELECTION!$C$48)</f>
        <v>1211</v>
      </c>
    </row>
    <row r="163" spans="1:6" x14ac:dyDescent="0.2">
      <c r="A163" s="54">
        <f t="shared" si="2"/>
        <v>158</v>
      </c>
      <c r="B163" s="41" t="s">
        <v>490</v>
      </c>
      <c r="C163" s="56" t="str">
        <f>VLOOKUP(B163,LINGUA!$B:$H,2,0)</f>
        <v>humiSteam X-plus 3 kg/h, 460Vac 3~, with regulation, cleanable cylinder</v>
      </c>
      <c r="D163" s="644">
        <v>1241</v>
      </c>
      <c r="E163" s="595"/>
      <c r="F163" s="648">
        <f>IF(SELECTION!$C$46="Eur",CODICI!D163,CODICI!D163*SELECTION!$C$48)</f>
        <v>1241</v>
      </c>
    </row>
    <row r="164" spans="1:6" x14ac:dyDescent="0.2">
      <c r="A164" s="54">
        <f t="shared" si="2"/>
        <v>159</v>
      </c>
      <c r="B164" s="41" t="s">
        <v>379</v>
      </c>
      <c r="C164" s="56" t="str">
        <f>VLOOKUP(B164,LINGUA!$B:$H,2,0)</f>
        <v>humiSteam X-plus 3 kg/h, 208Vac 1~, with regulation, disposable cylinder</v>
      </c>
      <c r="D164" s="644">
        <v>1210</v>
      </c>
      <c r="E164" s="595"/>
      <c r="F164" s="648">
        <f>IF(SELECTION!$C$46="Eur",CODICI!D164,CODICI!D164*SELECTION!$C$48)</f>
        <v>1210</v>
      </c>
    </row>
    <row r="165" spans="1:6" x14ac:dyDescent="0.2">
      <c r="A165" s="54">
        <f t="shared" si="2"/>
        <v>160</v>
      </c>
      <c r="B165" s="41" t="s">
        <v>491</v>
      </c>
      <c r="C165" s="56" t="str">
        <f>VLOOKUP(B165,LINGUA!$B:$H,2,0)</f>
        <v>humiSteam X-plus 3 kg/h, 208Vac 1~, with regulation, cleanable cylinder</v>
      </c>
      <c r="D165" s="644">
        <v>1241</v>
      </c>
      <c r="E165" s="595"/>
      <c r="F165" s="648">
        <f>IF(SELECTION!$C$46="Eur",CODICI!D165,CODICI!D165*SELECTION!$C$48)</f>
        <v>1241</v>
      </c>
    </row>
    <row r="166" spans="1:6" x14ac:dyDescent="0.2">
      <c r="A166" s="54">
        <f t="shared" si="2"/>
        <v>161</v>
      </c>
      <c r="B166" s="41" t="s">
        <v>380</v>
      </c>
      <c r="C166" s="56" t="str">
        <f>VLOOKUP(B166,LINGUA!$B:$H,2,0)</f>
        <v>humiSteam X-plus 3 kg/h, 208Vac 3~, with regulation, disposable cylinder</v>
      </c>
      <c r="D166" s="644">
        <v>1210</v>
      </c>
      <c r="E166" s="595"/>
      <c r="F166" s="648">
        <f>IF(SELECTION!$C$46="Eur",CODICI!D166,CODICI!D166*SELECTION!$C$48)</f>
        <v>1210</v>
      </c>
    </row>
    <row r="167" spans="1:6" x14ac:dyDescent="0.2">
      <c r="A167" s="54">
        <f t="shared" si="2"/>
        <v>162</v>
      </c>
      <c r="B167" s="41" t="s">
        <v>492</v>
      </c>
      <c r="C167" s="56" t="str">
        <f>VLOOKUP(B167,LINGUA!$B:$H,2,0)</f>
        <v>humiSteam X-plus 3 kg/h, 208Vac 3~, with regulation, cleanable cylinder</v>
      </c>
      <c r="D167" s="644">
        <v>1241</v>
      </c>
      <c r="E167" s="595"/>
      <c r="F167" s="648">
        <f>IF(SELECTION!$C$46="Eur",CODICI!D167,CODICI!D167*SELECTION!$C$48)</f>
        <v>1241</v>
      </c>
    </row>
    <row r="168" spans="1:6" x14ac:dyDescent="0.2">
      <c r="A168" s="54">
        <f t="shared" si="2"/>
        <v>163</v>
      </c>
      <c r="B168" s="41" t="s">
        <v>381</v>
      </c>
      <c r="C168" s="56" t="str">
        <f>VLOOKUP(B168,LINGUA!$B:$H,2,0)</f>
        <v>humiSteam X-plus 5 kg/h, 230Vac 1~, with regulation, disposable cylinder</v>
      </c>
      <c r="D168" s="644">
        <v>1338</v>
      </c>
      <c r="E168" s="595"/>
      <c r="F168" s="648">
        <f>IF(SELECTION!$C$46="Eur",CODICI!D168,CODICI!D168*SELECTION!$C$48)</f>
        <v>1338</v>
      </c>
    </row>
    <row r="169" spans="1:6" x14ac:dyDescent="0.2">
      <c r="A169" s="54">
        <f t="shared" si="2"/>
        <v>164</v>
      </c>
      <c r="B169" s="41" t="s">
        <v>493</v>
      </c>
      <c r="C169" s="56" t="str">
        <f>VLOOKUP(B169,LINGUA!$B:$H,2,0)</f>
        <v>humiSteam X-plus 5 kg/h, 230Vac 1~, with regulation, cleanable cylinder</v>
      </c>
      <c r="D169" s="644">
        <v>1404</v>
      </c>
      <c r="E169" s="595"/>
      <c r="F169" s="648">
        <f>IF(SELECTION!$C$46="Eur",CODICI!D169,CODICI!D169*SELECTION!$C$48)</f>
        <v>1404</v>
      </c>
    </row>
    <row r="170" spans="1:6" x14ac:dyDescent="0.2">
      <c r="A170" s="54">
        <f t="shared" si="2"/>
        <v>165</v>
      </c>
      <c r="B170" s="41" t="s">
        <v>382</v>
      </c>
      <c r="C170" s="56" t="str">
        <f>VLOOKUP(B170,LINGUA!$B:$H,2,0)</f>
        <v>humiSteam X-plus 5 kg/h, 230Vac 3~, with regulation, disposable cylinder</v>
      </c>
      <c r="D170" s="644">
        <v>1338</v>
      </c>
      <c r="E170" s="595"/>
      <c r="F170" s="648">
        <f>IF(SELECTION!$C$46="Eur",CODICI!D170,CODICI!D170*SELECTION!$C$48)</f>
        <v>1338</v>
      </c>
    </row>
    <row r="171" spans="1:6" x14ac:dyDescent="0.2">
      <c r="A171" s="54">
        <f t="shared" si="2"/>
        <v>166</v>
      </c>
      <c r="B171" s="41" t="s">
        <v>494</v>
      </c>
      <c r="C171" s="56" t="str">
        <f>VLOOKUP(B171,LINGUA!$B:$H,2,0)</f>
        <v>humiSteam X-plus 5 kg/h, 230Vac 3~, with regulation, cleanable cylinder</v>
      </c>
      <c r="D171" s="644">
        <v>1369</v>
      </c>
      <c r="E171" s="595"/>
      <c r="F171" s="648">
        <f>IF(SELECTION!$C$46="Eur",CODICI!D171,CODICI!D171*SELECTION!$C$48)</f>
        <v>1369</v>
      </c>
    </row>
    <row r="172" spans="1:6" x14ac:dyDescent="0.2">
      <c r="A172" s="54">
        <f t="shared" si="2"/>
        <v>167</v>
      </c>
      <c r="B172" s="41" t="s">
        <v>383</v>
      </c>
      <c r="C172" s="56" t="str">
        <f>VLOOKUP(B172,LINGUA!$B:$H,2,0)</f>
        <v>humiSteam X-plus 5 kg/h, 400Vac 3~, with regulation, disposable cylinder</v>
      </c>
      <c r="D172" s="644">
        <v>1338</v>
      </c>
      <c r="E172" s="595"/>
      <c r="F172" s="648">
        <f>IF(SELECTION!$C$46="Eur",CODICI!D172,CODICI!D172*SELECTION!$C$48)</f>
        <v>1338</v>
      </c>
    </row>
    <row r="173" spans="1:6" x14ac:dyDescent="0.2">
      <c r="A173" s="54">
        <f t="shared" si="2"/>
        <v>168</v>
      </c>
      <c r="B173" s="41" t="s">
        <v>495</v>
      </c>
      <c r="C173" s="56" t="str">
        <f>VLOOKUP(B173,LINGUA!$B:$H,2,0)</f>
        <v>humiSteam X-plus 5 kg/h, 400Vac 3~, with regulation, cleanable cylinder</v>
      </c>
      <c r="D173" s="644">
        <v>1369</v>
      </c>
      <c r="E173" s="595"/>
      <c r="F173" s="648">
        <f>IF(SELECTION!$C$46="Eur",CODICI!D173,CODICI!D173*SELECTION!$C$48)</f>
        <v>1369</v>
      </c>
    </row>
    <row r="174" spans="1:6" x14ac:dyDescent="0.2">
      <c r="A174" s="54">
        <f t="shared" si="2"/>
        <v>169</v>
      </c>
      <c r="B174" s="41" t="s">
        <v>384</v>
      </c>
      <c r="C174" s="56" t="str">
        <f>VLOOKUP(B174,LINGUA!$B:$H,2,0)</f>
        <v>humiSteam X-plus 5 kg/h, 460Vac 3~, with regulation, disposable cylinder</v>
      </c>
      <c r="D174" s="644">
        <v>1338</v>
      </c>
      <c r="E174" s="595"/>
      <c r="F174" s="648">
        <f>IF(SELECTION!$C$46="Eur",CODICI!D174,CODICI!D174*SELECTION!$C$48)</f>
        <v>1338</v>
      </c>
    </row>
    <row r="175" spans="1:6" x14ac:dyDescent="0.2">
      <c r="A175" s="54">
        <f t="shared" si="2"/>
        <v>170</v>
      </c>
      <c r="B175" s="41" t="s">
        <v>496</v>
      </c>
      <c r="C175" s="56" t="str">
        <f>VLOOKUP(B175,LINGUA!$B:$H,2,0)</f>
        <v>humiSteam X-plus 5 kg/h, 460Vac 3~, with regulation, cleanable cylinder</v>
      </c>
      <c r="D175" s="644">
        <v>1369</v>
      </c>
      <c r="E175" s="595"/>
      <c r="F175" s="648">
        <f>IF(SELECTION!$C$46="Eur",CODICI!D175,CODICI!D175*SELECTION!$C$48)</f>
        <v>1369</v>
      </c>
    </row>
    <row r="176" spans="1:6" x14ac:dyDescent="0.2">
      <c r="A176" s="54">
        <f t="shared" si="2"/>
        <v>171</v>
      </c>
      <c r="B176" s="41" t="s">
        <v>385</v>
      </c>
      <c r="C176" s="56" t="str">
        <f>VLOOKUP(B176,LINGUA!$B:$H,2,0)</f>
        <v>humiSteam X-plus 5 kg/h, 575Vac 3~, with regulation, disposable cylinder</v>
      </c>
      <c r="D176" s="644">
        <v>1338</v>
      </c>
      <c r="E176" s="595"/>
      <c r="F176" s="648">
        <f>IF(SELECTION!$C$46="Eur",CODICI!D176,CODICI!D176*SELECTION!$C$48)</f>
        <v>1338</v>
      </c>
    </row>
    <row r="177" spans="1:6" x14ac:dyDescent="0.2">
      <c r="A177" s="54">
        <f t="shared" si="2"/>
        <v>172</v>
      </c>
      <c r="B177" s="41" t="s">
        <v>497</v>
      </c>
      <c r="C177" s="56" t="str">
        <f>VLOOKUP(B177,LINGUA!$B:$H,2,0)</f>
        <v>humiSteam X-plus 5 kg/h, 575Vac 3~, with regulation, cleanable cylinder</v>
      </c>
      <c r="D177" s="644">
        <v>1369</v>
      </c>
      <c r="E177" s="595"/>
      <c r="F177" s="648">
        <f>IF(SELECTION!$C$46="Eur",CODICI!D177,CODICI!D177*SELECTION!$C$48)</f>
        <v>1369</v>
      </c>
    </row>
    <row r="178" spans="1:6" x14ac:dyDescent="0.2">
      <c r="A178" s="54">
        <f t="shared" si="2"/>
        <v>173</v>
      </c>
      <c r="B178" s="41" t="s">
        <v>386</v>
      </c>
      <c r="C178" s="56" t="str">
        <f>VLOOKUP(B178,LINGUA!$B:$H,2,0)</f>
        <v>humiSteam X-plus 5 kg/h, 208Vac 1~, with regulation, disposable cylinder</v>
      </c>
      <c r="D178" s="644">
        <v>1338</v>
      </c>
      <c r="E178" s="595"/>
      <c r="F178" s="648">
        <f>IF(SELECTION!$C$46="Eur",CODICI!D178,CODICI!D178*SELECTION!$C$48)</f>
        <v>1338</v>
      </c>
    </row>
    <row r="179" spans="1:6" x14ac:dyDescent="0.2">
      <c r="A179" s="54">
        <f t="shared" si="2"/>
        <v>174</v>
      </c>
      <c r="B179" s="41" t="s">
        <v>498</v>
      </c>
      <c r="C179" s="56" t="str">
        <f>VLOOKUP(B179,LINGUA!$B:$H,2,0)</f>
        <v>humiSteam X-plus 5 kg/h, 208Vac 1~, with regulation, cleanable cylinder</v>
      </c>
      <c r="D179" s="644">
        <v>1404</v>
      </c>
      <c r="E179" s="595"/>
      <c r="F179" s="648">
        <f>IF(SELECTION!$C$46="Eur",CODICI!D179,CODICI!D179*SELECTION!$C$48)</f>
        <v>1404</v>
      </c>
    </row>
    <row r="180" spans="1:6" x14ac:dyDescent="0.2">
      <c r="A180" s="54">
        <f t="shared" si="2"/>
        <v>175</v>
      </c>
      <c r="B180" s="41" t="s">
        <v>387</v>
      </c>
      <c r="C180" s="56" t="str">
        <f>VLOOKUP(B180,LINGUA!$B:$H,2,0)</f>
        <v>humiSteam X-plus 5 kg/h, 208Vac 3~, with regulation, disposable cylinder</v>
      </c>
      <c r="D180" s="644">
        <v>1338</v>
      </c>
      <c r="E180" s="595"/>
      <c r="F180" s="648">
        <f>IF(SELECTION!$C$46="Eur",CODICI!D180,CODICI!D180*SELECTION!$C$48)</f>
        <v>1338</v>
      </c>
    </row>
    <row r="181" spans="1:6" x14ac:dyDescent="0.2">
      <c r="A181" s="54">
        <f t="shared" si="2"/>
        <v>176</v>
      </c>
      <c r="B181" s="41" t="s">
        <v>499</v>
      </c>
      <c r="C181" s="56" t="str">
        <f>VLOOKUP(B181,LINGUA!$B:$H,2,0)</f>
        <v>humiSteam X-plus 5 kg/h, 208Vac 3~, with regulation, cleanable cylinder</v>
      </c>
      <c r="D181" s="644">
        <v>1369</v>
      </c>
      <c r="E181" s="595"/>
      <c r="F181" s="648">
        <f>IF(SELECTION!$C$46="Eur",CODICI!D181,CODICI!D181*SELECTION!$C$48)</f>
        <v>1369</v>
      </c>
    </row>
    <row r="182" spans="1:6" x14ac:dyDescent="0.2">
      <c r="A182" s="54">
        <f t="shared" si="2"/>
        <v>177</v>
      </c>
      <c r="B182" s="41" t="s">
        <v>388</v>
      </c>
      <c r="C182" s="56" t="str">
        <f>VLOOKUP(B182,LINGUA!$B:$H,2,0)</f>
        <v>humiSteam X-plus 8 kg/h, 230Vac 3~, with regulation, disposable cylinder</v>
      </c>
      <c r="D182" s="644">
        <v>1433</v>
      </c>
      <c r="E182" s="595"/>
      <c r="F182" s="648">
        <f>IF(SELECTION!$C$46="Eur",CODICI!D182,CODICI!D182*SELECTION!$C$48)</f>
        <v>1433</v>
      </c>
    </row>
    <row r="183" spans="1:6" x14ac:dyDescent="0.2">
      <c r="A183" s="54">
        <f t="shared" si="2"/>
        <v>178</v>
      </c>
      <c r="B183" s="41" t="s">
        <v>500</v>
      </c>
      <c r="C183" s="56" t="str">
        <f>VLOOKUP(B183,LINGUA!$B:$H,2,0)</f>
        <v>humiSteam X-plus 8 kg/h, 230Vac 3~, with regulation, cleanable cylinder</v>
      </c>
      <c r="D183" s="644">
        <v>1485</v>
      </c>
      <c r="E183" s="595"/>
      <c r="F183" s="648">
        <f>IF(SELECTION!$C$46="Eur",CODICI!D183,CODICI!D183*SELECTION!$C$48)</f>
        <v>1485</v>
      </c>
    </row>
    <row r="184" spans="1:6" x14ac:dyDescent="0.2">
      <c r="A184" s="54">
        <f t="shared" si="2"/>
        <v>179</v>
      </c>
      <c r="B184" s="41" t="s">
        <v>389</v>
      </c>
      <c r="C184" s="56" t="str">
        <f>VLOOKUP(B184,LINGUA!$B:$H,2,0)</f>
        <v>humiSteam X-plus 8 kg/h, 400Vac 3~, with regulation, disposable cylinder</v>
      </c>
      <c r="D184" s="644">
        <v>1433</v>
      </c>
      <c r="E184" s="595"/>
      <c r="F184" s="648">
        <f>IF(SELECTION!$C$46="Eur",CODICI!D184,CODICI!D184*SELECTION!$C$48)</f>
        <v>1433</v>
      </c>
    </row>
    <row r="185" spans="1:6" x14ac:dyDescent="0.2">
      <c r="A185" s="54">
        <f t="shared" si="2"/>
        <v>180</v>
      </c>
      <c r="B185" s="41" t="s">
        <v>501</v>
      </c>
      <c r="C185" s="56" t="str">
        <f>VLOOKUP(B185,LINGUA!$B:$H,2,0)</f>
        <v>humiSteam X-plus 8 kg/h, 400Vac 3~, with regulation, cleanable cylinder</v>
      </c>
      <c r="D185" s="644">
        <v>1485</v>
      </c>
      <c r="E185" s="595"/>
      <c r="F185" s="648">
        <f>IF(SELECTION!$C$46="Eur",CODICI!D185,CODICI!D185*SELECTION!$C$48)</f>
        <v>1485</v>
      </c>
    </row>
    <row r="186" spans="1:6" x14ac:dyDescent="0.2">
      <c r="A186" s="54">
        <f t="shared" si="2"/>
        <v>181</v>
      </c>
      <c r="B186" s="41" t="s">
        <v>390</v>
      </c>
      <c r="C186" s="56" t="str">
        <f>VLOOKUP(B186,LINGUA!$B:$H,2,0)</f>
        <v>humiSteam X-plus 8 kg/h, 460Vac 3~, with regulation, disposable cylinder</v>
      </c>
      <c r="D186" s="644">
        <v>1433</v>
      </c>
      <c r="E186" s="595"/>
      <c r="F186" s="648">
        <f>IF(SELECTION!$C$46="Eur",CODICI!D186,CODICI!D186*SELECTION!$C$48)</f>
        <v>1433</v>
      </c>
    </row>
    <row r="187" spans="1:6" x14ac:dyDescent="0.2">
      <c r="A187" s="54">
        <f t="shared" si="2"/>
        <v>182</v>
      </c>
      <c r="B187" s="41" t="s">
        <v>502</v>
      </c>
      <c r="C187" s="56" t="str">
        <f>VLOOKUP(B187,LINGUA!$B:$H,2,0)</f>
        <v>humiSteam X-plus 8 kg/h, 460Vac 3~, with regulation, cleanable cylinder</v>
      </c>
      <c r="D187" s="644">
        <v>1485</v>
      </c>
      <c r="E187" s="595"/>
      <c r="F187" s="648">
        <f>IF(SELECTION!$C$46="Eur",CODICI!D187,CODICI!D187*SELECTION!$C$48)</f>
        <v>1485</v>
      </c>
    </row>
    <row r="188" spans="1:6" x14ac:dyDescent="0.2">
      <c r="A188" s="54">
        <f t="shared" si="2"/>
        <v>183</v>
      </c>
      <c r="B188" s="41" t="s">
        <v>391</v>
      </c>
      <c r="C188" s="56" t="str">
        <f>VLOOKUP(B188,LINGUA!$B:$H,2,0)</f>
        <v>humiSteam X-plus 8 kg/h, 575Vac 3~, with regulation, disposable cylinder</v>
      </c>
      <c r="D188" s="644">
        <v>1433</v>
      </c>
      <c r="E188" s="595"/>
      <c r="F188" s="648">
        <f>IF(SELECTION!$C$46="Eur",CODICI!D188,CODICI!D188*SELECTION!$C$48)</f>
        <v>1433</v>
      </c>
    </row>
    <row r="189" spans="1:6" x14ac:dyDescent="0.2">
      <c r="A189" s="54">
        <f t="shared" si="2"/>
        <v>184</v>
      </c>
      <c r="B189" s="41" t="s">
        <v>503</v>
      </c>
      <c r="C189" s="56" t="str">
        <f>VLOOKUP(B189,LINGUA!$B:$H,2,0)</f>
        <v>humiSteam X-plus 8 kg/h, 575Vac 3~, with regulation, cleanable cylinder</v>
      </c>
      <c r="D189" s="644">
        <v>1485</v>
      </c>
      <c r="E189" s="595"/>
      <c r="F189" s="648">
        <f>IF(SELECTION!$C$46="Eur",CODICI!D189,CODICI!D189*SELECTION!$C$48)</f>
        <v>1485</v>
      </c>
    </row>
    <row r="190" spans="1:6" x14ac:dyDescent="0.2">
      <c r="A190" s="54">
        <f t="shared" si="2"/>
        <v>185</v>
      </c>
      <c r="B190" s="41" t="s">
        <v>392</v>
      </c>
      <c r="C190" s="56" t="str">
        <f>VLOOKUP(B190,LINGUA!$B:$H,2,0)</f>
        <v>humiSteam X-plus 8 kg/h, 208Vac 3~, with regulation, disposable cylinder</v>
      </c>
      <c r="D190" s="644">
        <v>1433</v>
      </c>
      <c r="E190" s="595"/>
      <c r="F190" s="648">
        <f>IF(SELECTION!$C$46="Eur",CODICI!D190,CODICI!D190*SELECTION!$C$48)</f>
        <v>1433</v>
      </c>
    </row>
    <row r="191" spans="1:6" x14ac:dyDescent="0.2">
      <c r="A191" s="54">
        <f t="shared" si="2"/>
        <v>186</v>
      </c>
      <c r="B191" s="41" t="s">
        <v>504</v>
      </c>
      <c r="C191" s="56" t="str">
        <f>VLOOKUP(B191,LINGUA!$B:$H,2,0)</f>
        <v>humiSteam X-plus 8 kg/h, 208Vac 3~, with regulation, cleanable cylinder</v>
      </c>
      <c r="D191" s="644">
        <v>1485</v>
      </c>
      <c r="E191" s="595"/>
      <c r="F191" s="648">
        <f>IF(SELECTION!$C$46="Eur",CODICI!D191,CODICI!D191*SELECTION!$C$48)</f>
        <v>1485</v>
      </c>
    </row>
    <row r="192" spans="1:6" x14ac:dyDescent="0.2">
      <c r="A192" s="54">
        <f t="shared" si="2"/>
        <v>187</v>
      </c>
      <c r="B192" s="41" t="s">
        <v>393</v>
      </c>
      <c r="C192" s="56" t="str">
        <f>VLOOKUP(B192,LINGUA!$B:$H,2,0)</f>
        <v>humiSteam X-plus 9 kg/h, 230Vac 1~, with regulation, disposable cylinder</v>
      </c>
      <c r="D192" s="644">
        <v>1501</v>
      </c>
      <c r="E192" s="595"/>
      <c r="F192" s="648">
        <f>IF(SELECTION!$C$46="Eur",CODICI!D192,CODICI!D192*SELECTION!$C$48)</f>
        <v>1501</v>
      </c>
    </row>
    <row r="193" spans="1:6" x14ac:dyDescent="0.2">
      <c r="A193" s="54">
        <f t="shared" si="2"/>
        <v>188</v>
      </c>
      <c r="B193" s="41" t="s">
        <v>505</v>
      </c>
      <c r="C193" s="56" t="str">
        <f>VLOOKUP(B193,LINGUA!$B:$H,2,0)</f>
        <v>humiSteam X-plus 9 kg/h, 230Vac 1~, with regulation, cleanable cylinder</v>
      </c>
      <c r="D193" s="644">
        <v>1566</v>
      </c>
      <c r="E193" s="595"/>
      <c r="F193" s="648">
        <f>IF(SELECTION!$C$46="Eur",CODICI!D193,CODICI!D193*SELECTION!$C$48)</f>
        <v>1566</v>
      </c>
    </row>
    <row r="194" spans="1:6" x14ac:dyDescent="0.2">
      <c r="A194" s="54">
        <f t="shared" si="2"/>
        <v>189</v>
      </c>
      <c r="B194" s="41" t="s">
        <v>394</v>
      </c>
      <c r="C194" s="56" t="str">
        <f>VLOOKUP(B194,LINGUA!$B:$H,2,0)</f>
        <v>humiSteam X-plus 9 kg/h, 208Vac 1~, with regulation, disposable cylinder</v>
      </c>
      <c r="D194" s="644">
        <v>1501</v>
      </c>
      <c r="E194" s="595"/>
      <c r="F194" s="648">
        <f>IF(SELECTION!$C$46="Eur",CODICI!D194,CODICI!D194*SELECTION!$C$48)</f>
        <v>1501</v>
      </c>
    </row>
    <row r="195" spans="1:6" x14ac:dyDescent="0.2">
      <c r="A195" s="54">
        <f t="shared" si="2"/>
        <v>190</v>
      </c>
      <c r="B195" s="41" t="s">
        <v>506</v>
      </c>
      <c r="C195" s="56" t="str">
        <f>VLOOKUP(B195,LINGUA!$B:$H,2,0)</f>
        <v>humiSteam X-plus 9 kg/h, 208Vac 1~, with regulation, cleanable cylinder</v>
      </c>
      <c r="D195" s="644">
        <v>1566</v>
      </c>
      <c r="E195" s="595"/>
      <c r="F195" s="648">
        <f>IF(SELECTION!$C$46="Eur",CODICI!D195,CODICI!D195*SELECTION!$C$48)</f>
        <v>1566</v>
      </c>
    </row>
    <row r="196" spans="1:6" x14ac:dyDescent="0.2">
      <c r="A196" s="54">
        <f t="shared" si="2"/>
        <v>191</v>
      </c>
      <c r="B196" s="41" t="s">
        <v>395</v>
      </c>
      <c r="C196" s="56" t="str">
        <f>VLOOKUP(B196,LINGUA!$B:$H,2,0)</f>
        <v>humiSteam X-plus 10 kg/h, 230Vac 3~, with regulation, disposable cylinder</v>
      </c>
      <c r="D196" s="644">
        <v>1472</v>
      </c>
      <c r="E196" s="595"/>
      <c r="F196" s="648">
        <f>IF(SELECTION!$C$46="Eur",CODICI!D196,CODICI!D196*SELECTION!$C$48)</f>
        <v>1472</v>
      </c>
    </row>
    <row r="197" spans="1:6" x14ac:dyDescent="0.2">
      <c r="A197" s="54">
        <f t="shared" si="2"/>
        <v>192</v>
      </c>
      <c r="B197" s="41" t="s">
        <v>507</v>
      </c>
      <c r="C197" s="56" t="str">
        <f>VLOOKUP(B197,LINGUA!$B:$H,2,0)</f>
        <v>humiSteam X-plus 10 kg/h, 230Vac 3~, with regulation, cleanable cylinder</v>
      </c>
      <c r="D197" s="644">
        <v>1557</v>
      </c>
      <c r="E197" s="595"/>
      <c r="F197" s="648">
        <f>IF(SELECTION!$C$46="Eur",CODICI!D197,CODICI!D197*SELECTION!$C$48)</f>
        <v>1557</v>
      </c>
    </row>
    <row r="198" spans="1:6" x14ac:dyDescent="0.2">
      <c r="A198" s="54">
        <f t="shared" si="2"/>
        <v>193</v>
      </c>
      <c r="B198" s="41" t="s">
        <v>396</v>
      </c>
      <c r="C198" s="56" t="str">
        <f>VLOOKUP(B198,LINGUA!$B:$H,2,0)</f>
        <v>humiSteam X-plus 10 kg/h, 400Vac 3~, with regulation, disposable cylinder</v>
      </c>
      <c r="D198" s="644">
        <v>1472</v>
      </c>
      <c r="E198" s="595"/>
      <c r="F198" s="648">
        <f>IF(SELECTION!$C$46="Eur",CODICI!D198,CODICI!D198*SELECTION!$C$48)</f>
        <v>1472</v>
      </c>
    </row>
    <row r="199" spans="1:6" x14ac:dyDescent="0.2">
      <c r="A199" s="54">
        <f t="shared" si="2"/>
        <v>194</v>
      </c>
      <c r="B199" s="41" t="s">
        <v>508</v>
      </c>
      <c r="C199" s="56" t="str">
        <f>VLOOKUP(B199,LINGUA!$B:$H,2,0)</f>
        <v>humiSteam X-plus 10 kg/h, 400Vac 3~, with regulation, cleanable cylinder</v>
      </c>
      <c r="D199" s="644">
        <v>1556</v>
      </c>
      <c r="E199" s="595"/>
      <c r="F199" s="648">
        <f>IF(SELECTION!$C$46="Eur",CODICI!D199,CODICI!D199*SELECTION!$C$48)</f>
        <v>1556</v>
      </c>
    </row>
    <row r="200" spans="1:6" x14ac:dyDescent="0.2">
      <c r="A200" s="54">
        <f t="shared" ref="A200:A263" si="3">+A199+1</f>
        <v>195</v>
      </c>
      <c r="B200" s="41" t="s">
        <v>397</v>
      </c>
      <c r="C200" s="56" t="str">
        <f>VLOOKUP(B200,LINGUA!$B:$H,2,0)</f>
        <v>humiSteam X-plus 10 kg/h, 460Vac 3~, with regulation, disposable cylinder</v>
      </c>
      <c r="D200" s="644">
        <v>1472</v>
      </c>
      <c r="E200" s="595"/>
      <c r="F200" s="648">
        <f>IF(SELECTION!$C$46="Eur",CODICI!D200,CODICI!D200*SELECTION!$C$48)</f>
        <v>1472</v>
      </c>
    </row>
    <row r="201" spans="1:6" x14ac:dyDescent="0.2">
      <c r="A201" s="54">
        <f t="shared" si="3"/>
        <v>196</v>
      </c>
      <c r="B201" s="41" t="s">
        <v>509</v>
      </c>
      <c r="C201" s="56" t="str">
        <f>VLOOKUP(B201,LINGUA!$B:$H,2,0)</f>
        <v>humiSteam X-plus 10 kg/h, 460Vac 3~, with regulation, cleanable cylinder</v>
      </c>
      <c r="D201" s="644">
        <v>1557</v>
      </c>
      <c r="E201" s="595"/>
      <c r="F201" s="648">
        <f>IF(SELECTION!$C$46="Eur",CODICI!D201,CODICI!D201*SELECTION!$C$48)</f>
        <v>1557</v>
      </c>
    </row>
    <row r="202" spans="1:6" x14ac:dyDescent="0.2">
      <c r="A202" s="54">
        <f t="shared" si="3"/>
        <v>197</v>
      </c>
      <c r="B202" s="41" t="s">
        <v>398</v>
      </c>
      <c r="C202" s="56" t="str">
        <f>VLOOKUP(B202,LINGUA!$B:$H,2,0)</f>
        <v>humiSteam X-plus 10 kg/h, 575Vac 3~, with regulation, disposable cylinder</v>
      </c>
      <c r="D202" s="644">
        <v>1472</v>
      </c>
      <c r="E202" s="595"/>
      <c r="F202" s="648">
        <f>IF(SELECTION!$C$46="Eur",CODICI!D202,CODICI!D202*SELECTION!$C$48)</f>
        <v>1472</v>
      </c>
    </row>
    <row r="203" spans="1:6" x14ac:dyDescent="0.2">
      <c r="A203" s="54">
        <f t="shared" si="3"/>
        <v>198</v>
      </c>
      <c r="B203" s="41" t="s">
        <v>510</v>
      </c>
      <c r="C203" s="56" t="str">
        <f>VLOOKUP(B203,LINGUA!$B:$H,2,0)</f>
        <v>humiSteam X-plus 10 kg/h, 575Vac 3~, with regulation, cleanable cylinder</v>
      </c>
      <c r="D203" s="644">
        <v>1557</v>
      </c>
      <c r="E203" s="595"/>
      <c r="F203" s="648">
        <f>IF(SELECTION!$C$46="Eur",CODICI!D203,CODICI!D203*SELECTION!$C$48)</f>
        <v>1557</v>
      </c>
    </row>
    <row r="204" spans="1:6" x14ac:dyDescent="0.2">
      <c r="A204" s="54">
        <f t="shared" si="3"/>
        <v>199</v>
      </c>
      <c r="B204" s="41" t="s">
        <v>399</v>
      </c>
      <c r="C204" s="56" t="str">
        <f>VLOOKUP(B204,LINGUA!$B:$H,2,0)</f>
        <v>humiSteam X-plus 10 kg/h, 208Vac 3~, with regulation, disposable cylinder</v>
      </c>
      <c r="D204" s="644">
        <v>1472</v>
      </c>
      <c r="E204" s="595"/>
      <c r="F204" s="648">
        <f>IF(SELECTION!$C$46="Eur",CODICI!D204,CODICI!D204*SELECTION!$C$48)</f>
        <v>1472</v>
      </c>
    </row>
    <row r="205" spans="1:6" x14ac:dyDescent="0.2">
      <c r="A205" s="54">
        <f t="shared" si="3"/>
        <v>200</v>
      </c>
      <c r="B205" s="41" t="s">
        <v>511</v>
      </c>
      <c r="C205" s="56" t="str">
        <f>VLOOKUP(B205,LINGUA!$B:$H,2,0)</f>
        <v>humiSteam X-plus 10 kg/h, 208Vac 3~, with regulation, cleanable cylinder</v>
      </c>
      <c r="D205" s="644">
        <v>1557</v>
      </c>
      <c r="E205" s="595"/>
      <c r="F205" s="648">
        <f>IF(SELECTION!$C$46="Eur",CODICI!D205,CODICI!D205*SELECTION!$C$48)</f>
        <v>1557</v>
      </c>
    </row>
    <row r="206" spans="1:6" x14ac:dyDescent="0.2">
      <c r="A206" s="54">
        <f t="shared" si="3"/>
        <v>201</v>
      </c>
      <c r="B206" s="41" t="s">
        <v>400</v>
      </c>
      <c r="C206" s="56" t="str">
        <f>VLOOKUP(B206,LINGUA!$B:$H,2,0)</f>
        <v>humiSteam X-plus 15 kg/h, 230Vac 3~, with regulation, disposable cylinder</v>
      </c>
      <c r="D206" s="644">
        <v>1520</v>
      </c>
      <c r="E206" s="595"/>
      <c r="F206" s="648">
        <f>IF(SELECTION!$C$46="Eur",CODICI!D206,CODICI!D206*SELECTION!$C$48)</f>
        <v>1520</v>
      </c>
    </row>
    <row r="207" spans="1:6" x14ac:dyDescent="0.2">
      <c r="A207" s="54">
        <f t="shared" si="3"/>
        <v>202</v>
      </c>
      <c r="B207" s="41" t="s">
        <v>512</v>
      </c>
      <c r="C207" s="56" t="str">
        <f>VLOOKUP(B207,LINGUA!$B:$H,2,0)</f>
        <v>humiSteam X-plus 15 kg/h, 230Vac 3~, with regulation, cleanable cylinder</v>
      </c>
      <c r="D207" s="644">
        <v>1607</v>
      </c>
      <c r="E207" s="595"/>
      <c r="F207" s="648">
        <f>IF(SELECTION!$C$46="Eur",CODICI!D207,CODICI!D207*SELECTION!$C$48)</f>
        <v>1607</v>
      </c>
    </row>
    <row r="208" spans="1:6" x14ac:dyDescent="0.2">
      <c r="A208" s="54">
        <f t="shared" si="3"/>
        <v>203</v>
      </c>
      <c r="B208" s="41" t="s">
        <v>401</v>
      </c>
      <c r="C208" s="56" t="str">
        <f>VLOOKUP(B208,LINGUA!$B:$H,2,0)</f>
        <v>humiSteam X-plus 15 kg/h, 400Vac 3~, with regulation, disposable cylinder</v>
      </c>
      <c r="D208" s="644">
        <v>1520</v>
      </c>
      <c r="E208" s="595"/>
      <c r="F208" s="648">
        <f>IF(SELECTION!$C$46="Eur",CODICI!D208,CODICI!D208*SELECTION!$C$48)</f>
        <v>1520</v>
      </c>
    </row>
    <row r="209" spans="1:6" x14ac:dyDescent="0.2">
      <c r="A209" s="54">
        <f t="shared" si="3"/>
        <v>204</v>
      </c>
      <c r="B209" s="41" t="s">
        <v>513</v>
      </c>
      <c r="C209" s="56" t="str">
        <f>VLOOKUP(B209,LINGUA!$B:$H,2,0)</f>
        <v>humiSteam X-plus 15 kg/h, 400Vac 3~, with regulation, cleanable cylinder</v>
      </c>
      <c r="D209" s="644">
        <v>1606</v>
      </c>
      <c r="E209" s="595"/>
      <c r="F209" s="648">
        <f>IF(SELECTION!$C$46="Eur",CODICI!D209,CODICI!D209*SELECTION!$C$48)</f>
        <v>1606</v>
      </c>
    </row>
    <row r="210" spans="1:6" x14ac:dyDescent="0.2">
      <c r="A210" s="54">
        <f t="shared" si="3"/>
        <v>205</v>
      </c>
      <c r="B210" s="41" t="s">
        <v>402</v>
      </c>
      <c r="C210" s="56" t="str">
        <f>VLOOKUP(B210,LINGUA!$B:$H,2,0)</f>
        <v>humiSteam X-plus 15 kg/h, 460Vac 3~, with regulation, disposable cylinder</v>
      </c>
      <c r="D210" s="644">
        <v>1520</v>
      </c>
      <c r="E210" s="595"/>
      <c r="F210" s="648">
        <f>IF(SELECTION!$C$46="Eur",CODICI!D210,CODICI!D210*SELECTION!$C$48)</f>
        <v>1520</v>
      </c>
    </row>
    <row r="211" spans="1:6" x14ac:dyDescent="0.2">
      <c r="A211" s="54">
        <f t="shared" si="3"/>
        <v>206</v>
      </c>
      <c r="B211" s="41" t="s">
        <v>514</v>
      </c>
      <c r="C211" s="56" t="str">
        <f>VLOOKUP(B211,LINGUA!$B:$H,2,0)</f>
        <v>humiSteam X-plus 15 kg/h, 460Vac 3~, with regulation, cleanable cylinder</v>
      </c>
      <c r="D211" s="644">
        <v>1607</v>
      </c>
      <c r="E211" s="595"/>
      <c r="F211" s="648">
        <f>IF(SELECTION!$C$46="Eur",CODICI!D211,CODICI!D211*SELECTION!$C$48)</f>
        <v>1607</v>
      </c>
    </row>
    <row r="212" spans="1:6" x14ac:dyDescent="0.2">
      <c r="A212" s="54">
        <f t="shared" si="3"/>
        <v>207</v>
      </c>
      <c r="B212" s="41" t="s">
        <v>403</v>
      </c>
      <c r="C212" s="56" t="str">
        <f>VLOOKUP(B212,LINGUA!$B:$H,2,0)</f>
        <v>humiSteam X-plus 15 kg/h, 575Vac 3~, with regulation, disposable cylinder</v>
      </c>
      <c r="D212" s="644">
        <v>1520</v>
      </c>
      <c r="E212" s="595"/>
      <c r="F212" s="648">
        <f>IF(SELECTION!$C$46="Eur",CODICI!D212,CODICI!D212*SELECTION!$C$48)</f>
        <v>1520</v>
      </c>
    </row>
    <row r="213" spans="1:6" x14ac:dyDescent="0.2">
      <c r="A213" s="54">
        <f t="shared" si="3"/>
        <v>208</v>
      </c>
      <c r="B213" s="41" t="s">
        <v>515</v>
      </c>
      <c r="C213" s="56" t="str">
        <f>VLOOKUP(B213,LINGUA!$B:$H,2,0)</f>
        <v>humiSteam X-plus 15 kg/h, 575Vac 3~, with regulation, cleanable cylinder</v>
      </c>
      <c r="D213" s="644">
        <v>1607</v>
      </c>
      <c r="E213" s="595"/>
      <c r="F213" s="648">
        <f>IF(SELECTION!$C$46="Eur",CODICI!D213,CODICI!D213*SELECTION!$C$48)</f>
        <v>1607</v>
      </c>
    </row>
    <row r="214" spans="1:6" x14ac:dyDescent="0.2">
      <c r="A214" s="54">
        <f t="shared" si="3"/>
        <v>209</v>
      </c>
      <c r="B214" s="41" t="s">
        <v>404</v>
      </c>
      <c r="C214" s="56" t="str">
        <f>VLOOKUP(B214,LINGUA!$B:$H,2,0)</f>
        <v>humiSteam X-plus 15 kg/h, 208Vac 3~, with regulation, disposable cylinder</v>
      </c>
      <c r="D214" s="644">
        <v>1520</v>
      </c>
      <c r="E214" s="595"/>
      <c r="F214" s="648">
        <f>IF(SELECTION!$C$46="Eur",CODICI!D214,CODICI!D214*SELECTION!$C$48)</f>
        <v>1520</v>
      </c>
    </row>
    <row r="215" spans="1:6" x14ac:dyDescent="0.2">
      <c r="A215" s="54">
        <f t="shared" si="3"/>
        <v>210</v>
      </c>
      <c r="B215" s="41" t="s">
        <v>516</v>
      </c>
      <c r="C215" s="56" t="str">
        <f>VLOOKUP(B215,LINGUA!$B:$H,2,0)</f>
        <v>humiSteam X-plus 15 kg/h, 208Vac 3~, with regulation, cleanable cylinder</v>
      </c>
      <c r="D215" s="644">
        <v>1607</v>
      </c>
      <c r="E215" s="595"/>
      <c r="F215" s="648">
        <f>IF(SELECTION!$C$46="Eur",CODICI!D215,CODICI!D215*SELECTION!$C$48)</f>
        <v>1607</v>
      </c>
    </row>
    <row r="216" spans="1:6" x14ac:dyDescent="0.2">
      <c r="A216" s="54">
        <f t="shared" si="3"/>
        <v>211</v>
      </c>
      <c r="B216" s="41" t="s">
        <v>405</v>
      </c>
      <c r="C216" s="56" t="str">
        <f>VLOOKUP(B216,LINGUA!$B:$H,2,0)</f>
        <v>humiSteam X-plus 18 kg/h, 400Vac 3~, with regulation, disposable cylinder</v>
      </c>
      <c r="D216" s="644">
        <v>1564</v>
      </c>
      <c r="E216" s="595"/>
      <c r="F216" s="648">
        <f>IF(SELECTION!$C$46="Eur",CODICI!D216,CODICI!D216*SELECTION!$C$48)</f>
        <v>1564</v>
      </c>
    </row>
    <row r="217" spans="1:6" x14ac:dyDescent="0.2">
      <c r="A217" s="54">
        <f t="shared" si="3"/>
        <v>212</v>
      </c>
      <c r="B217" s="41" t="s">
        <v>517</v>
      </c>
      <c r="C217" s="56" t="str">
        <f>VLOOKUP(B217,LINGUA!$B:$H,2,0)</f>
        <v>humiSteam X-plus 18 kg/h, 400Vac 3~, with regulation, cleanable cylinder</v>
      </c>
      <c r="D217" s="644">
        <v>1629</v>
      </c>
      <c r="E217" s="595"/>
      <c r="F217" s="648">
        <f>IF(SELECTION!$C$46="Eur",CODICI!D217,CODICI!D217*SELECTION!$C$48)</f>
        <v>1629</v>
      </c>
    </row>
    <row r="218" spans="1:6" x14ac:dyDescent="0.2">
      <c r="A218" s="54">
        <f t="shared" si="3"/>
        <v>213</v>
      </c>
      <c r="B218" s="41" t="s">
        <v>406</v>
      </c>
      <c r="C218" s="56" t="str">
        <f>VLOOKUP(B218,LINGUA!$B:$H,2,0)</f>
        <v>humiSteam X-plus 18 kg/h, 460Vac 3~, with regulation, disposable cylinder</v>
      </c>
      <c r="D218" s="644">
        <v>1565</v>
      </c>
      <c r="E218" s="595"/>
      <c r="F218" s="648">
        <f>IF(SELECTION!$C$46="Eur",CODICI!D218,CODICI!D218*SELECTION!$C$48)</f>
        <v>1565</v>
      </c>
    </row>
    <row r="219" spans="1:6" x14ac:dyDescent="0.2">
      <c r="A219" s="54">
        <f t="shared" si="3"/>
        <v>214</v>
      </c>
      <c r="B219" s="41" t="s">
        <v>518</v>
      </c>
      <c r="C219" s="56" t="str">
        <f>VLOOKUP(B219,LINGUA!$B:$H,2,0)</f>
        <v>humiSteam X-plus 18 kg/h, 460Vac 3~, with regulation, cleanable cylinder</v>
      </c>
      <c r="D219" s="644">
        <v>1629</v>
      </c>
      <c r="E219" s="595"/>
      <c r="F219" s="648">
        <f>IF(SELECTION!$C$46="Eur",CODICI!D219,CODICI!D219*SELECTION!$C$48)</f>
        <v>1629</v>
      </c>
    </row>
    <row r="220" spans="1:6" x14ac:dyDescent="0.2">
      <c r="A220" s="54">
        <f t="shared" si="3"/>
        <v>215</v>
      </c>
      <c r="B220" s="41" t="s">
        <v>407</v>
      </c>
      <c r="C220" s="56" t="str">
        <f>VLOOKUP(B220,LINGUA!$B:$H,2,0)</f>
        <v>humiSteam X-plus 18 kg/h, 575Vac 3~, with regulation, disposable cylinder</v>
      </c>
      <c r="D220" s="644">
        <v>1564</v>
      </c>
      <c r="E220" s="595"/>
      <c r="F220" s="648">
        <f>IF(SELECTION!$C$46="Eur",CODICI!D220,CODICI!D220*SELECTION!$C$48)</f>
        <v>1564</v>
      </c>
    </row>
    <row r="221" spans="1:6" x14ac:dyDescent="0.2">
      <c r="A221" s="54">
        <f t="shared" si="3"/>
        <v>216</v>
      </c>
      <c r="B221" s="41" t="s">
        <v>519</v>
      </c>
      <c r="C221" s="56" t="str">
        <f>VLOOKUP(B221,LINGUA!$B:$H,2,0)</f>
        <v>humiSteam X-plus 18 kg/h, 575Vac 3~, with regulation, cleanable cylinder</v>
      </c>
      <c r="D221" s="644">
        <v>1629</v>
      </c>
      <c r="E221" s="595"/>
      <c r="F221" s="648">
        <f>IF(SELECTION!$C$46="Eur",CODICI!D221,CODICI!D221*SELECTION!$C$48)</f>
        <v>1629</v>
      </c>
    </row>
    <row r="222" spans="1:6" x14ac:dyDescent="0.2">
      <c r="A222" s="54">
        <f t="shared" si="3"/>
        <v>217</v>
      </c>
      <c r="B222" s="41" t="s">
        <v>408</v>
      </c>
      <c r="C222" s="56" t="str">
        <f>VLOOKUP(B222,LINGUA!$B:$H,2,0)</f>
        <v>humiSteam X-plus 25 kg/h, 230Vac 3~, with regulation, disposable cylinder</v>
      </c>
      <c r="D222" s="644">
        <v>2032</v>
      </c>
      <c r="E222" s="595"/>
      <c r="F222" s="648">
        <f>IF(SELECTION!$C$46="Eur",CODICI!D222,CODICI!D222*SELECTION!$C$48)</f>
        <v>2032</v>
      </c>
    </row>
    <row r="223" spans="1:6" x14ac:dyDescent="0.2">
      <c r="A223" s="54">
        <f t="shared" si="3"/>
        <v>218</v>
      </c>
      <c r="B223" s="41" t="s">
        <v>520</v>
      </c>
      <c r="C223" s="56" t="str">
        <f>VLOOKUP(B223,LINGUA!$B:$H,2,0)</f>
        <v>humiSteam X-plus 25 kg/h, 230Vac 3~, with regulation, cleanable cylinder</v>
      </c>
      <c r="D223" s="644">
        <v>2100</v>
      </c>
      <c r="E223" s="595"/>
      <c r="F223" s="648">
        <f>IF(SELECTION!$C$46="Eur",CODICI!D223,CODICI!D223*SELECTION!$C$48)</f>
        <v>2100</v>
      </c>
    </row>
    <row r="224" spans="1:6" x14ac:dyDescent="0.2">
      <c r="A224" s="54">
        <f t="shared" si="3"/>
        <v>219</v>
      </c>
      <c r="B224" s="41" t="s">
        <v>409</v>
      </c>
      <c r="C224" s="56" t="str">
        <f>VLOOKUP(B224,LINGUA!$B:$H,2,0)</f>
        <v>humiSteam X-plus 25 kg/h, 400Vac 3~, with regulation, disposable cylinder</v>
      </c>
      <c r="D224" s="644">
        <v>2031</v>
      </c>
      <c r="E224" s="595"/>
      <c r="F224" s="648">
        <f>IF(SELECTION!$C$46="Eur",CODICI!D224,CODICI!D224*SELECTION!$C$48)</f>
        <v>2031</v>
      </c>
    </row>
    <row r="225" spans="1:6" x14ac:dyDescent="0.2">
      <c r="A225" s="54">
        <f t="shared" si="3"/>
        <v>220</v>
      </c>
      <c r="B225" s="41" t="s">
        <v>521</v>
      </c>
      <c r="C225" s="56" t="str">
        <f>VLOOKUP(B225,LINGUA!$B:$H,2,0)</f>
        <v>humiSteam X-plus 25 kg/h, 400Vac 3~, with regulation, cleanable cylinder</v>
      </c>
      <c r="D225" s="644">
        <v>2099</v>
      </c>
      <c r="E225" s="595"/>
      <c r="F225" s="648">
        <f>IF(SELECTION!$C$46="Eur",CODICI!D225,CODICI!D225*SELECTION!$C$48)</f>
        <v>2099</v>
      </c>
    </row>
    <row r="226" spans="1:6" x14ac:dyDescent="0.2">
      <c r="A226" s="54">
        <f t="shared" si="3"/>
        <v>221</v>
      </c>
      <c r="B226" s="41" t="s">
        <v>410</v>
      </c>
      <c r="C226" s="56" t="str">
        <f>VLOOKUP(B226,LINGUA!$B:$H,2,0)</f>
        <v>humiSteam X-plus 25 kg/h, 460Vac 3~, with regulation, disposable cylinder</v>
      </c>
      <c r="D226" s="644">
        <v>2032</v>
      </c>
      <c r="E226" s="595"/>
      <c r="F226" s="648">
        <f>IF(SELECTION!$C$46="Eur",CODICI!D226,CODICI!D226*SELECTION!$C$48)</f>
        <v>2032</v>
      </c>
    </row>
    <row r="227" spans="1:6" x14ac:dyDescent="0.2">
      <c r="A227" s="54">
        <f t="shared" si="3"/>
        <v>222</v>
      </c>
      <c r="B227" s="41" t="s">
        <v>522</v>
      </c>
      <c r="C227" s="56" t="str">
        <f>VLOOKUP(B227,LINGUA!$B:$H,2,0)</f>
        <v>humiSteam X-plus 25 kg/h, 460Vac 3~, with regulation, cleanable cylinder</v>
      </c>
      <c r="D227" s="644">
        <v>2100</v>
      </c>
      <c r="E227" s="595"/>
      <c r="F227" s="648">
        <f>IF(SELECTION!$C$46="Eur",CODICI!D227,CODICI!D227*SELECTION!$C$48)</f>
        <v>2100</v>
      </c>
    </row>
    <row r="228" spans="1:6" x14ac:dyDescent="0.2">
      <c r="A228" s="54">
        <f t="shared" si="3"/>
        <v>223</v>
      </c>
      <c r="B228" s="41" t="s">
        <v>411</v>
      </c>
      <c r="C228" s="56" t="str">
        <f>VLOOKUP(B228,LINGUA!$B:$H,2,0)</f>
        <v>humiSteam X-plus 25 kg/h, 575Vac 3~, with regulation, disposable cylinder</v>
      </c>
      <c r="D228" s="644">
        <v>2032</v>
      </c>
      <c r="E228" s="595"/>
      <c r="F228" s="648">
        <f>IF(SELECTION!$C$46="Eur",CODICI!D228,CODICI!D228*SELECTION!$C$48)</f>
        <v>2032</v>
      </c>
    </row>
    <row r="229" spans="1:6" x14ac:dyDescent="0.2">
      <c r="A229" s="54">
        <f t="shared" si="3"/>
        <v>224</v>
      </c>
      <c r="B229" s="41" t="s">
        <v>523</v>
      </c>
      <c r="C229" s="56" t="str">
        <f>VLOOKUP(B229,LINGUA!$B:$H,2,0)</f>
        <v>humiSteam X-plus 25 kg/h, 575Vac 3~, with regulation, cleanable cylinder</v>
      </c>
      <c r="D229" s="644">
        <v>2100</v>
      </c>
      <c r="E229" s="595"/>
      <c r="F229" s="648">
        <f>IF(SELECTION!$C$46="Eur",CODICI!D229,CODICI!D229*SELECTION!$C$48)</f>
        <v>2100</v>
      </c>
    </row>
    <row r="230" spans="1:6" x14ac:dyDescent="0.2">
      <c r="A230" s="54">
        <f t="shared" si="3"/>
        <v>225</v>
      </c>
      <c r="B230" s="41" t="s">
        <v>412</v>
      </c>
      <c r="C230" s="56" t="str">
        <f>VLOOKUP(B230,LINGUA!$B:$H,2,0)</f>
        <v>humiSteam X-plus 25 kg/h, 208Vac 3~, with regulation, disposable cylinder</v>
      </c>
      <c r="D230" s="644">
        <v>2032</v>
      </c>
      <c r="E230" s="595"/>
      <c r="F230" s="648">
        <f>IF(SELECTION!$C$46="Eur",CODICI!D230,CODICI!D230*SELECTION!$C$48)</f>
        <v>2032</v>
      </c>
    </row>
    <row r="231" spans="1:6" x14ac:dyDescent="0.2">
      <c r="A231" s="54">
        <f t="shared" si="3"/>
        <v>226</v>
      </c>
      <c r="B231" s="41" t="s">
        <v>524</v>
      </c>
      <c r="C231" s="56" t="str">
        <f>VLOOKUP(B231,LINGUA!$B:$H,2,0)</f>
        <v>humiSteam X-plus 25 kg/h, 208Vac 3~, with regulation, cleanable cylinder</v>
      </c>
      <c r="D231" s="644">
        <v>2100</v>
      </c>
      <c r="E231" s="595"/>
      <c r="F231" s="648">
        <f>IF(SELECTION!$C$46="Eur",CODICI!D231,CODICI!D231*SELECTION!$C$48)</f>
        <v>2100</v>
      </c>
    </row>
    <row r="232" spans="1:6" x14ac:dyDescent="0.2">
      <c r="A232" s="54">
        <f t="shared" si="3"/>
        <v>227</v>
      </c>
      <c r="B232" s="41" t="s">
        <v>413</v>
      </c>
      <c r="C232" s="56" t="str">
        <f>VLOOKUP(B232,LINGUA!$B:$H,2,0)</f>
        <v>humiSteam X-plus 35 kg/h, 230Vac 3~, with regulation, disposable cylinder</v>
      </c>
      <c r="D232" s="644">
        <v>2308</v>
      </c>
      <c r="E232" s="595"/>
      <c r="F232" s="648">
        <f>IF(SELECTION!$C$46="Eur",CODICI!D232,CODICI!D232*SELECTION!$C$48)</f>
        <v>2308</v>
      </c>
    </row>
    <row r="233" spans="1:6" x14ac:dyDescent="0.2">
      <c r="A233" s="54">
        <f t="shared" si="3"/>
        <v>228</v>
      </c>
      <c r="B233" s="41" t="s">
        <v>525</v>
      </c>
      <c r="C233" s="56" t="str">
        <f>VLOOKUP(B233,LINGUA!$B:$H,2,0)</f>
        <v>humiSteam X-plus 35 kg/h, 230Vac 3~, with regulation, cleanable cylinder</v>
      </c>
      <c r="D233" s="644">
        <v>2376</v>
      </c>
      <c r="E233" s="595"/>
      <c r="F233" s="648">
        <f>IF(SELECTION!$C$46="Eur",CODICI!D233,CODICI!D233*SELECTION!$C$48)</f>
        <v>2376</v>
      </c>
    </row>
    <row r="234" spans="1:6" x14ac:dyDescent="0.2">
      <c r="A234" s="54">
        <f t="shared" si="3"/>
        <v>229</v>
      </c>
      <c r="B234" s="41" t="s">
        <v>414</v>
      </c>
      <c r="C234" s="56" t="str">
        <f>VLOOKUP(B234,LINGUA!$B:$H,2,0)</f>
        <v>humiSteam X-plus 35 kg/h, 400Vac 3~, with regulation, disposable cylinder</v>
      </c>
      <c r="D234" s="644">
        <v>2307</v>
      </c>
      <c r="E234" s="595"/>
      <c r="F234" s="648">
        <f>IF(SELECTION!$C$46="Eur",CODICI!D234,CODICI!D234*SELECTION!$C$48)</f>
        <v>2307</v>
      </c>
    </row>
    <row r="235" spans="1:6" x14ac:dyDescent="0.2">
      <c r="A235" s="54">
        <f t="shared" si="3"/>
        <v>230</v>
      </c>
      <c r="B235" s="41" t="s">
        <v>526</v>
      </c>
      <c r="C235" s="56" t="str">
        <f>VLOOKUP(B235,LINGUA!$B:$H,2,0)</f>
        <v>humiSteam X-plus 35 kg/h, 400Vac 3~, with regulation, cleanable cylinder</v>
      </c>
      <c r="D235" s="644">
        <v>2375</v>
      </c>
      <c r="E235" s="595"/>
      <c r="F235" s="648">
        <f>IF(SELECTION!$C$46="Eur",CODICI!D235,CODICI!D235*SELECTION!$C$48)</f>
        <v>2375</v>
      </c>
    </row>
    <row r="236" spans="1:6" x14ac:dyDescent="0.2">
      <c r="A236" s="54">
        <f t="shared" si="3"/>
        <v>231</v>
      </c>
      <c r="B236" s="41" t="s">
        <v>415</v>
      </c>
      <c r="C236" s="56" t="str">
        <f>VLOOKUP(B236,LINGUA!$B:$H,2,0)</f>
        <v>humiSteam X-plus 35 kg/h, 460Vac 3~, with regulation, disposable cylinder</v>
      </c>
      <c r="D236" s="644">
        <v>2308</v>
      </c>
      <c r="E236" s="595"/>
      <c r="F236" s="648">
        <f>IF(SELECTION!$C$46="Eur",CODICI!D236,CODICI!D236*SELECTION!$C$48)</f>
        <v>2308</v>
      </c>
    </row>
    <row r="237" spans="1:6" x14ac:dyDescent="0.2">
      <c r="A237" s="54">
        <f t="shared" si="3"/>
        <v>232</v>
      </c>
      <c r="B237" s="41" t="s">
        <v>527</v>
      </c>
      <c r="C237" s="56" t="str">
        <f>VLOOKUP(B237,LINGUA!$B:$H,2,0)</f>
        <v>humiSteam X-plus 35 kg/h, 460Vac 3~, with regulation, cleanable cylinder</v>
      </c>
      <c r="D237" s="644">
        <v>2376</v>
      </c>
      <c r="E237" s="595"/>
      <c r="F237" s="648">
        <f>IF(SELECTION!$C$46="Eur",CODICI!D237,CODICI!D237*SELECTION!$C$48)</f>
        <v>2376</v>
      </c>
    </row>
    <row r="238" spans="1:6" x14ac:dyDescent="0.2">
      <c r="A238" s="54">
        <f t="shared" si="3"/>
        <v>233</v>
      </c>
      <c r="B238" s="41" t="s">
        <v>416</v>
      </c>
      <c r="C238" s="56" t="str">
        <f>VLOOKUP(B238,LINGUA!$B:$H,2,0)</f>
        <v>humiSteam X-plus 35 kg/h, 575Vac 3~, with regulation, disposable cylinder</v>
      </c>
      <c r="D238" s="644">
        <v>2308</v>
      </c>
      <c r="E238" s="595"/>
      <c r="F238" s="648">
        <f>IF(SELECTION!$C$46="Eur",CODICI!D238,CODICI!D238*SELECTION!$C$48)</f>
        <v>2308</v>
      </c>
    </row>
    <row r="239" spans="1:6" x14ac:dyDescent="0.2">
      <c r="A239" s="54">
        <f t="shared" si="3"/>
        <v>234</v>
      </c>
      <c r="B239" s="41" t="s">
        <v>528</v>
      </c>
      <c r="C239" s="56" t="str">
        <f>VLOOKUP(B239,LINGUA!$B:$H,2,0)</f>
        <v>humiSteam X-plus 35 kg/h, 575Vac 3~, with regulation, cleanable cylinder</v>
      </c>
      <c r="D239" s="644">
        <v>2376</v>
      </c>
      <c r="E239" s="595"/>
      <c r="F239" s="648">
        <f>IF(SELECTION!$C$46="Eur",CODICI!D239,CODICI!D239*SELECTION!$C$48)</f>
        <v>2376</v>
      </c>
    </row>
    <row r="240" spans="1:6" x14ac:dyDescent="0.2">
      <c r="A240" s="54">
        <f t="shared" si="3"/>
        <v>235</v>
      </c>
      <c r="B240" s="41" t="s">
        <v>417</v>
      </c>
      <c r="C240" s="56" t="str">
        <f>VLOOKUP(B240,LINGUA!$B:$H,2,0)</f>
        <v>humiSteam X-plus 35 kg/h, 208Vac 3~, with regulation, disposable cylinder</v>
      </c>
      <c r="D240" s="644">
        <v>2308</v>
      </c>
      <c r="E240" s="595"/>
      <c r="F240" s="648">
        <f>IF(SELECTION!$C$46="Eur",CODICI!D240,CODICI!D240*SELECTION!$C$48)</f>
        <v>2308</v>
      </c>
    </row>
    <row r="241" spans="1:6" x14ac:dyDescent="0.2">
      <c r="A241" s="54">
        <f t="shared" si="3"/>
        <v>236</v>
      </c>
      <c r="B241" s="41" t="s">
        <v>529</v>
      </c>
      <c r="C241" s="56" t="str">
        <f>VLOOKUP(B241,LINGUA!$B:$H,2,0)</f>
        <v>humiSteam X-plus 35 kg/h, 208Vac 3~, with regulation, cleanable cylinder</v>
      </c>
      <c r="D241" s="644">
        <v>2376</v>
      </c>
      <c r="E241" s="595"/>
      <c r="F241" s="648">
        <f>IF(SELECTION!$C$46="Eur",CODICI!D241,CODICI!D241*SELECTION!$C$48)</f>
        <v>2376</v>
      </c>
    </row>
    <row r="242" spans="1:6" x14ac:dyDescent="0.2">
      <c r="A242" s="54">
        <f t="shared" si="3"/>
        <v>237</v>
      </c>
      <c r="B242" s="41" t="s">
        <v>418</v>
      </c>
      <c r="C242" s="56" t="str">
        <f>VLOOKUP(B242,LINGUA!$B:$H,2,0)</f>
        <v>humiSteam X-plus 45 kg/h, 230Vac 3~, with regulation, disposable cylinder</v>
      </c>
      <c r="D242" s="644">
        <v>2538</v>
      </c>
      <c r="E242" s="595"/>
      <c r="F242" s="648">
        <f>IF(SELECTION!$C$46="Eur",CODICI!D242,CODICI!D242*SELECTION!$C$48)</f>
        <v>2538</v>
      </c>
    </row>
    <row r="243" spans="1:6" x14ac:dyDescent="0.2">
      <c r="A243" s="54">
        <f t="shared" si="3"/>
        <v>238</v>
      </c>
      <c r="B243" s="41" t="s">
        <v>530</v>
      </c>
      <c r="C243" s="56" t="str">
        <f>VLOOKUP(B243,LINGUA!$B:$H,2,0)</f>
        <v>humiSteam X-plus 45 kg/h, 230Vac 3~, with regulation, cleanable cylinder</v>
      </c>
      <c r="D243" s="644">
        <v>2606</v>
      </c>
      <c r="E243" s="595"/>
      <c r="F243" s="648">
        <f>IF(SELECTION!$C$46="Eur",CODICI!D243,CODICI!D243*SELECTION!$C$48)</f>
        <v>2606</v>
      </c>
    </row>
    <row r="244" spans="1:6" x14ac:dyDescent="0.2">
      <c r="A244" s="54">
        <f t="shared" si="3"/>
        <v>239</v>
      </c>
      <c r="B244" s="41" t="s">
        <v>419</v>
      </c>
      <c r="C244" s="56" t="str">
        <f>VLOOKUP(B244,LINGUA!$B:$H,2,0)</f>
        <v>humiSteam X-plus 45 kg/h, 400Vac 3~, with regulation, disposable cylinder</v>
      </c>
      <c r="D244" s="644">
        <v>2538</v>
      </c>
      <c r="E244" s="595"/>
      <c r="F244" s="648">
        <f>IF(SELECTION!$C$46="Eur",CODICI!D244,CODICI!D244*SELECTION!$C$48)</f>
        <v>2538</v>
      </c>
    </row>
    <row r="245" spans="1:6" x14ac:dyDescent="0.2">
      <c r="A245" s="54">
        <f t="shared" si="3"/>
        <v>240</v>
      </c>
      <c r="B245" s="41" t="s">
        <v>531</v>
      </c>
      <c r="C245" s="56" t="str">
        <f>VLOOKUP(B245,LINGUA!$B:$H,2,0)</f>
        <v>humiSteam X-plus 45 kg/h, 400Vac 3~, with regulation, cleanable cylinder</v>
      </c>
      <c r="D245" s="644">
        <v>2606</v>
      </c>
      <c r="E245" s="595"/>
      <c r="F245" s="648">
        <f>IF(SELECTION!$C$46="Eur",CODICI!D245,CODICI!D245*SELECTION!$C$48)</f>
        <v>2606</v>
      </c>
    </row>
    <row r="246" spans="1:6" x14ac:dyDescent="0.2">
      <c r="A246" s="54">
        <f t="shared" si="3"/>
        <v>241</v>
      </c>
      <c r="B246" s="41" t="s">
        <v>420</v>
      </c>
      <c r="C246" s="56" t="str">
        <f>VLOOKUP(B246,LINGUA!$B:$H,2,0)</f>
        <v>humiSteam X-plus 45 kg/h, 460Vac 3~, with regulation, disposable cylinder</v>
      </c>
      <c r="D246" s="644">
        <v>2538</v>
      </c>
      <c r="E246" s="595"/>
      <c r="F246" s="648">
        <f>IF(SELECTION!$C$46="Eur",CODICI!D246,CODICI!D246*SELECTION!$C$48)</f>
        <v>2538</v>
      </c>
    </row>
    <row r="247" spans="1:6" x14ac:dyDescent="0.2">
      <c r="A247" s="54">
        <f t="shared" si="3"/>
        <v>242</v>
      </c>
      <c r="B247" s="41" t="s">
        <v>532</v>
      </c>
      <c r="C247" s="56" t="str">
        <f>VLOOKUP(B247,LINGUA!$B:$H,2,0)</f>
        <v>humiSteam X-plus 45 kg/h, 460Vac 3~, with regulation, cleanable cylinder</v>
      </c>
      <c r="D247" s="644">
        <v>2606</v>
      </c>
      <c r="E247" s="595"/>
      <c r="F247" s="648">
        <f>IF(SELECTION!$C$46="Eur",CODICI!D247,CODICI!D247*SELECTION!$C$48)</f>
        <v>2606</v>
      </c>
    </row>
    <row r="248" spans="1:6" x14ac:dyDescent="0.2">
      <c r="A248" s="54">
        <f t="shared" si="3"/>
        <v>243</v>
      </c>
      <c r="B248" s="41" t="s">
        <v>421</v>
      </c>
      <c r="C248" s="56" t="str">
        <f>VLOOKUP(B248,LINGUA!$B:$H,2,0)</f>
        <v>humiSteam X-plus 45 kg/h, 575Vac 3~, with regulation, disposable cylinder</v>
      </c>
      <c r="D248" s="644">
        <v>2538</v>
      </c>
      <c r="E248" s="595"/>
      <c r="F248" s="648">
        <f>IF(SELECTION!$C$46="Eur",CODICI!D248,CODICI!D248*SELECTION!$C$48)</f>
        <v>2538</v>
      </c>
    </row>
    <row r="249" spans="1:6" x14ac:dyDescent="0.2">
      <c r="A249" s="54">
        <f t="shared" si="3"/>
        <v>244</v>
      </c>
      <c r="B249" s="41" t="s">
        <v>533</v>
      </c>
      <c r="C249" s="56" t="str">
        <f>VLOOKUP(B249,LINGUA!$B:$H,2,0)</f>
        <v>humiSteam X-plus 45 kg/h, 575Vac 3~, with regulation, cleanable cylinder</v>
      </c>
      <c r="D249" s="644">
        <v>2606</v>
      </c>
      <c r="E249" s="595"/>
      <c r="F249" s="648">
        <f>IF(SELECTION!$C$46="Eur",CODICI!D249,CODICI!D249*SELECTION!$C$48)</f>
        <v>2606</v>
      </c>
    </row>
    <row r="250" spans="1:6" x14ac:dyDescent="0.2">
      <c r="A250" s="54">
        <f t="shared" si="3"/>
        <v>245</v>
      </c>
      <c r="B250" s="41" t="s">
        <v>422</v>
      </c>
      <c r="C250" s="56" t="str">
        <f>VLOOKUP(B250,LINGUA!$B:$H,2,0)</f>
        <v>humiSteam X-plus 45 kg/h, 208Vac 3~, with regulation, disposable cylinder</v>
      </c>
      <c r="D250" s="644">
        <v>2538</v>
      </c>
      <c r="E250" s="595"/>
      <c r="F250" s="648">
        <f>IF(SELECTION!$C$46="Eur",CODICI!D250,CODICI!D250*SELECTION!$C$48)</f>
        <v>2538</v>
      </c>
    </row>
    <row r="251" spans="1:6" x14ac:dyDescent="0.2">
      <c r="A251" s="54">
        <f t="shared" si="3"/>
        <v>246</v>
      </c>
      <c r="B251" s="41" t="s">
        <v>534</v>
      </c>
      <c r="C251" s="56" t="str">
        <f>VLOOKUP(B251,LINGUA!$B:$H,2,0)</f>
        <v>humiSteam X-plus 45 kg/h, 208Vac 3~, with regulation, cleanable cylinder</v>
      </c>
      <c r="D251" s="644">
        <v>2606</v>
      </c>
      <c r="E251" s="595"/>
      <c r="F251" s="648">
        <f>IF(SELECTION!$C$46="Eur",CODICI!D251,CODICI!D251*SELECTION!$C$48)</f>
        <v>2606</v>
      </c>
    </row>
    <row r="252" spans="1:6" x14ac:dyDescent="0.2">
      <c r="A252" s="54">
        <f t="shared" si="3"/>
        <v>247</v>
      </c>
      <c r="B252" s="41" t="s">
        <v>423</v>
      </c>
      <c r="C252" s="56" t="str">
        <f>VLOOKUP(B252,LINGUA!$B:$H,2,0)</f>
        <v>humiSteam X-plus 65 kg/h, 400Vac 3~, with regulation, disposable cylinder</v>
      </c>
      <c r="D252" s="644">
        <v>3069</v>
      </c>
      <c r="E252" s="595"/>
      <c r="F252" s="648">
        <f>IF(SELECTION!$C$46="Eur",CODICI!D252,CODICI!D252*SELECTION!$C$48)</f>
        <v>3069</v>
      </c>
    </row>
    <row r="253" spans="1:6" x14ac:dyDescent="0.2">
      <c r="A253" s="54">
        <f t="shared" si="3"/>
        <v>248</v>
      </c>
      <c r="B253" s="41" t="s">
        <v>535</v>
      </c>
      <c r="C253" s="56" t="str">
        <f>VLOOKUP(B253,LINGUA!$B:$H,2,0)</f>
        <v>humiSteam X-plus 65 kg/h, 400Vac 3~, with regulation, cleanable cylinder</v>
      </c>
      <c r="D253" s="644">
        <v>3215</v>
      </c>
      <c r="E253" s="595"/>
      <c r="F253" s="648">
        <f>IF(SELECTION!$C$46="Eur",CODICI!D253,CODICI!D253*SELECTION!$C$48)</f>
        <v>3215</v>
      </c>
    </row>
    <row r="254" spans="1:6" x14ac:dyDescent="0.2">
      <c r="A254" s="54">
        <f t="shared" si="3"/>
        <v>249</v>
      </c>
      <c r="B254" s="41" t="s">
        <v>424</v>
      </c>
      <c r="C254" s="56" t="str">
        <f>VLOOKUP(B254,LINGUA!$B:$H,2,0)</f>
        <v>humiSteam X-plus 65 kg/h, 460Vac 3~, with regulation, disposable cylinder</v>
      </c>
      <c r="D254" s="644">
        <v>3069</v>
      </c>
      <c r="E254" s="595"/>
      <c r="F254" s="648">
        <f>IF(SELECTION!$C$46="Eur",CODICI!D254,CODICI!D254*SELECTION!$C$48)</f>
        <v>3069</v>
      </c>
    </row>
    <row r="255" spans="1:6" x14ac:dyDescent="0.2">
      <c r="A255" s="54">
        <f t="shared" si="3"/>
        <v>250</v>
      </c>
      <c r="B255" s="41" t="s">
        <v>536</v>
      </c>
      <c r="C255" s="56" t="str">
        <f>VLOOKUP(B255,LINGUA!$B:$H,2,0)</f>
        <v>humiSteam X-plus 65 kg/h, 460Vac 3~, with regulation, cleanable cylinder</v>
      </c>
      <c r="D255" s="644">
        <v>3215</v>
      </c>
      <c r="E255" s="595"/>
      <c r="F255" s="648">
        <f>IF(SELECTION!$C$46="Eur",CODICI!D255,CODICI!D255*SELECTION!$C$48)</f>
        <v>3215</v>
      </c>
    </row>
    <row r="256" spans="1:6" x14ac:dyDescent="0.2">
      <c r="A256" s="54">
        <f t="shared" si="3"/>
        <v>251</v>
      </c>
      <c r="B256" s="41" t="s">
        <v>425</v>
      </c>
      <c r="C256" s="56" t="str">
        <f>VLOOKUP(B256,LINGUA!$B:$H,2,0)</f>
        <v>humiSteam X-plus 65 kg/h, 575Vac 3~, with regulation, disposable cylinder</v>
      </c>
      <c r="D256" s="644">
        <v>3069</v>
      </c>
      <c r="E256" s="595"/>
      <c r="F256" s="648">
        <f>IF(SELECTION!$C$46="Eur",CODICI!D256,CODICI!D256*SELECTION!$C$48)</f>
        <v>3069</v>
      </c>
    </row>
    <row r="257" spans="1:6" x14ac:dyDescent="0.2">
      <c r="A257" s="54">
        <f t="shared" si="3"/>
        <v>252</v>
      </c>
      <c r="B257" s="41" t="s">
        <v>537</v>
      </c>
      <c r="C257" s="56" t="str">
        <f>VLOOKUP(B257,LINGUA!$B:$H,2,0)</f>
        <v>humiSteam X-plus 65 kg/h, 575Vac 3~, with regulation, cleanable cylinder</v>
      </c>
      <c r="D257" s="644">
        <v>3215</v>
      </c>
      <c r="E257" s="595"/>
      <c r="F257" s="648">
        <f>IF(SELECTION!$C$46="Eur",CODICI!D257,CODICI!D257*SELECTION!$C$48)</f>
        <v>3215</v>
      </c>
    </row>
    <row r="258" spans="1:6" x14ac:dyDescent="0.2">
      <c r="A258" s="54">
        <f t="shared" si="3"/>
        <v>253</v>
      </c>
      <c r="B258" s="41" t="s">
        <v>426</v>
      </c>
      <c r="C258" s="56" t="str">
        <f>VLOOKUP(B258,LINGUA!$B:$H,2,0)</f>
        <v>humiSteam X-plus 90 kg/h, 400Vac 3~, with regulation, disposable cylinder</v>
      </c>
      <c r="D258" s="644">
        <v>3880</v>
      </c>
      <c r="E258" s="595"/>
      <c r="F258" s="648">
        <f>IF(SELECTION!$C$46="Eur",CODICI!D258,CODICI!D258*SELECTION!$C$48)</f>
        <v>3880</v>
      </c>
    </row>
    <row r="259" spans="1:6" x14ac:dyDescent="0.2">
      <c r="A259" s="54">
        <f t="shared" si="3"/>
        <v>254</v>
      </c>
      <c r="B259" s="41" t="s">
        <v>538</v>
      </c>
      <c r="C259" s="56" t="str">
        <f>VLOOKUP(B259,LINGUA!$B:$H,2,0)</f>
        <v>humiSteam X-plus 90 kg/h, 400Vac 3~, with regulation, cleanable cylinder</v>
      </c>
      <c r="D259" s="644">
        <v>4058</v>
      </c>
      <c r="E259" s="595"/>
      <c r="F259" s="648">
        <f>IF(SELECTION!$C$46="Eur",CODICI!D259,CODICI!D259*SELECTION!$C$48)</f>
        <v>4058</v>
      </c>
    </row>
    <row r="260" spans="1:6" x14ac:dyDescent="0.2">
      <c r="A260" s="54">
        <f t="shared" si="3"/>
        <v>255</v>
      </c>
      <c r="B260" s="41" t="s">
        <v>427</v>
      </c>
      <c r="C260" s="56" t="str">
        <f>VLOOKUP(B260,LINGUA!$B:$H,2,0)</f>
        <v>humiSteam X-plus 90 kg/h, 460Vac 3~, with regulation, disposable cylinder</v>
      </c>
      <c r="D260" s="644">
        <v>3880</v>
      </c>
      <c r="E260" s="595"/>
      <c r="F260" s="648">
        <f>IF(SELECTION!$C$46="Eur",CODICI!D260,CODICI!D260*SELECTION!$C$48)</f>
        <v>3880</v>
      </c>
    </row>
    <row r="261" spans="1:6" x14ac:dyDescent="0.2">
      <c r="A261" s="54">
        <f t="shared" si="3"/>
        <v>256</v>
      </c>
      <c r="B261" s="41" t="s">
        <v>539</v>
      </c>
      <c r="C261" s="56" t="str">
        <f>VLOOKUP(B261,LINGUA!$B:$H,2,0)</f>
        <v>humiSteam X-plus 90 kg/h, 460Vac 3~, with regulation, cleanable cylinder</v>
      </c>
      <c r="D261" s="644">
        <v>4058</v>
      </c>
      <c r="E261" s="595"/>
      <c r="F261" s="648">
        <f>IF(SELECTION!$C$46="Eur",CODICI!D261,CODICI!D261*SELECTION!$C$48)</f>
        <v>4058</v>
      </c>
    </row>
    <row r="262" spans="1:6" x14ac:dyDescent="0.2">
      <c r="A262" s="54">
        <f t="shared" si="3"/>
        <v>257</v>
      </c>
      <c r="B262" s="41" t="s">
        <v>428</v>
      </c>
      <c r="C262" s="56" t="str">
        <f>VLOOKUP(B262,LINGUA!$B:$H,2,0)</f>
        <v>humiSteam X-plus 90 kg/h, 575Vac 3~, with regulation, disposable cylinder</v>
      </c>
      <c r="D262" s="644">
        <v>3880</v>
      </c>
      <c r="E262" s="595"/>
      <c r="F262" s="648">
        <f>IF(SELECTION!$C$46="Eur",CODICI!D262,CODICI!D262*SELECTION!$C$48)</f>
        <v>3880</v>
      </c>
    </row>
    <row r="263" spans="1:6" x14ac:dyDescent="0.2">
      <c r="A263" s="54">
        <f t="shared" si="3"/>
        <v>258</v>
      </c>
      <c r="B263" s="41" t="s">
        <v>540</v>
      </c>
      <c r="C263" s="56" t="str">
        <f>VLOOKUP(B263,LINGUA!$B:$H,2,0)</f>
        <v>humiSteam X-plus 90 kg/h, 575Vac 3~, with regulation, cleanable cylinder</v>
      </c>
      <c r="D263" s="644">
        <v>4058</v>
      </c>
      <c r="E263" s="595"/>
      <c r="F263" s="648">
        <f>IF(SELECTION!$C$46="Eur",CODICI!D263,CODICI!D263*SELECTION!$C$48)</f>
        <v>4058</v>
      </c>
    </row>
    <row r="264" spans="1:6" x14ac:dyDescent="0.2">
      <c r="A264" s="54">
        <f t="shared" ref="A264:A327" si="4">+A263+1</f>
        <v>259</v>
      </c>
      <c r="B264" s="41" t="s">
        <v>429</v>
      </c>
      <c r="C264" s="56" t="str">
        <f>VLOOKUP(B264,LINGUA!$B:$H,2,0)</f>
        <v>humiSteam X-plus 130 kg/h, 400Vac 3~, with regulation, disposable cylinder</v>
      </c>
      <c r="D264" s="644">
        <v>4360</v>
      </c>
      <c r="E264" s="595"/>
      <c r="F264" s="648">
        <f>IF(SELECTION!$C$46="Eur",CODICI!D264,CODICI!D264*SELECTION!$C$48)</f>
        <v>4360</v>
      </c>
    </row>
    <row r="265" spans="1:6" x14ac:dyDescent="0.2">
      <c r="A265" s="54">
        <f t="shared" si="4"/>
        <v>260</v>
      </c>
      <c r="B265" s="41" t="s">
        <v>541</v>
      </c>
      <c r="C265" s="56" t="str">
        <f>VLOOKUP(B265,LINGUA!$B:$H,2,0)</f>
        <v>humiSteam X-plus 130 kg/h, 400Vac 3~, with regulation, cleanable cylinder</v>
      </c>
      <c r="D265" s="644">
        <v>4625</v>
      </c>
      <c r="E265" s="595"/>
      <c r="F265" s="648">
        <f>IF(SELECTION!$C$46="Eur",CODICI!D265,CODICI!D265*SELECTION!$C$48)</f>
        <v>4625</v>
      </c>
    </row>
    <row r="266" spans="1:6" x14ac:dyDescent="0.2">
      <c r="A266" s="54">
        <f t="shared" si="4"/>
        <v>261</v>
      </c>
      <c r="B266" s="41" t="s">
        <v>430</v>
      </c>
      <c r="C266" s="56" t="str">
        <f>VLOOKUP(B266,LINGUA!$B:$H,2,0)</f>
        <v>humiSteam X-plus 130 kg/h, 460Vac 3~, with regulation, disposable cylinder</v>
      </c>
      <c r="D266" s="644">
        <v>4361</v>
      </c>
      <c r="E266" s="595"/>
      <c r="F266" s="648">
        <f>IF(SELECTION!$C$46="Eur",CODICI!D266,CODICI!D266*SELECTION!$C$48)</f>
        <v>4361</v>
      </c>
    </row>
    <row r="267" spans="1:6" x14ac:dyDescent="0.2">
      <c r="A267" s="54">
        <f t="shared" si="4"/>
        <v>262</v>
      </c>
      <c r="B267" s="41" t="s">
        <v>542</v>
      </c>
      <c r="C267" s="56" t="str">
        <f>VLOOKUP(B267,LINGUA!$B:$H,2,0)</f>
        <v>humiSteam X-plus 130 kg/h, 460Vac 3~, with regulation, cleanable cylinder</v>
      </c>
      <c r="D267" s="644">
        <v>4625</v>
      </c>
      <c r="E267" s="595"/>
      <c r="F267" s="648">
        <f>IF(SELECTION!$C$46="Eur",CODICI!D267,CODICI!D267*SELECTION!$C$48)</f>
        <v>4625</v>
      </c>
    </row>
    <row r="268" spans="1:6" x14ac:dyDescent="0.2">
      <c r="A268" s="54">
        <f t="shared" si="4"/>
        <v>263</v>
      </c>
      <c r="B268" s="41" t="s">
        <v>431</v>
      </c>
      <c r="C268" s="56" t="str">
        <f>VLOOKUP(B268,LINGUA!$B:$H,2,0)</f>
        <v>humiSteam X-plus 130 kg/h, 575Vac 3~, with regulation, disposable cylinder</v>
      </c>
      <c r="D268" s="644">
        <v>4360</v>
      </c>
      <c r="E268" s="595"/>
      <c r="F268" s="648">
        <f>IF(SELECTION!$C$46="Eur",CODICI!D268,CODICI!D268*SELECTION!$C$48)</f>
        <v>4360</v>
      </c>
    </row>
    <row r="269" spans="1:6" x14ac:dyDescent="0.2">
      <c r="A269" s="54">
        <f t="shared" si="4"/>
        <v>264</v>
      </c>
      <c r="B269" s="41" t="s">
        <v>543</v>
      </c>
      <c r="C269" s="56" t="str">
        <f>VLOOKUP(B269,LINGUA!$B:$H,2,0)</f>
        <v>humiSteam X-plus 130 kg/h, 575Vac 3~, with regulation, cleanable cylinder</v>
      </c>
      <c r="D269" s="644">
        <v>4360</v>
      </c>
      <c r="E269" s="595"/>
      <c r="F269" s="648">
        <f>IF(SELECTION!$C$46="Eur",CODICI!D269,CODICI!D269*SELECTION!$C$48)</f>
        <v>4360</v>
      </c>
    </row>
    <row r="270" spans="1:6" x14ac:dyDescent="0.2">
      <c r="A270" s="54">
        <f t="shared" si="4"/>
        <v>265</v>
      </c>
      <c r="B270" s="583" t="s">
        <v>3011</v>
      </c>
      <c r="C270" s="584" t="str">
        <f>VLOOKUP(B270,LINGUA!$B:$H,2,0)</f>
        <v>heaterSteam 2 kg/h , 230Vac 1~, ON/OFF or proportional, basic version</v>
      </c>
      <c r="D270" s="645" t="e">
        <v>#N/A</v>
      </c>
      <c r="E270" s="595"/>
      <c r="F270" s="648" t="e">
        <f>IF(SELECTION!$C$46="Eur",CODICI!D270,CODICI!D270*SELECTION!$C$48)</f>
        <v>#N/A</v>
      </c>
    </row>
    <row r="271" spans="1:6" x14ac:dyDescent="0.2">
      <c r="A271" s="54">
        <f t="shared" si="4"/>
        <v>266</v>
      </c>
      <c r="B271" s="583" t="s">
        <v>3012</v>
      </c>
      <c r="C271" s="584" t="str">
        <f>VLOOKUP(B271,LINGUA!$B:$H,2,0)</f>
        <v>heaterSteam 2 kg/h , 230Vac 1~, ON/OFF or proportional, full optional version</v>
      </c>
      <c r="D271" s="645" t="e">
        <v>#N/A</v>
      </c>
      <c r="E271" s="595"/>
      <c r="F271" s="648" t="e">
        <f>IF(SELECTION!$C$46="Eur",CODICI!D271,CODICI!D271*SELECTION!$C$48)</f>
        <v>#N/A</v>
      </c>
    </row>
    <row r="272" spans="1:6" x14ac:dyDescent="0.2">
      <c r="A272" s="54">
        <f t="shared" si="4"/>
        <v>267</v>
      </c>
      <c r="B272" s="583" t="s">
        <v>3013</v>
      </c>
      <c r="C272" s="584" t="str">
        <f>VLOOKUP(B272,LINGUA!$B:$H,2,0)</f>
        <v>heaterSteam 2 kg/h , 208Vac 1~, ON/OFF or proportional, basic version</v>
      </c>
      <c r="D272" s="645" t="e">
        <v>#N/A</v>
      </c>
      <c r="E272" s="595"/>
      <c r="F272" s="648" t="e">
        <f>IF(SELECTION!$C$46="Eur",CODICI!D272,CODICI!D272*SELECTION!$C$48)</f>
        <v>#N/A</v>
      </c>
    </row>
    <row r="273" spans="1:6" x14ac:dyDescent="0.2">
      <c r="A273" s="54">
        <f t="shared" si="4"/>
        <v>268</v>
      </c>
      <c r="B273" s="583" t="s">
        <v>3014</v>
      </c>
      <c r="C273" s="584" t="str">
        <f>VLOOKUP(B273,LINGUA!$B:$H,2,0)</f>
        <v>heaterSteam 2 kg/h , 208Vac 1~, ON/OFF or proportional, full optional version</v>
      </c>
      <c r="D273" s="645" t="e">
        <v>#N/A</v>
      </c>
      <c r="E273" s="595"/>
      <c r="F273" s="648" t="e">
        <f>IF(SELECTION!$C$46="Eur",CODICI!D273,CODICI!D273*SELECTION!$C$48)</f>
        <v>#N/A</v>
      </c>
    </row>
    <row r="274" spans="1:6" x14ac:dyDescent="0.2">
      <c r="A274" s="54">
        <f t="shared" si="4"/>
        <v>269</v>
      </c>
      <c r="B274" s="41" t="s">
        <v>3177</v>
      </c>
      <c r="C274" s="56" t="str">
        <f>VLOOKUP(B274,LINGUA!$B:$H,2,0)</f>
        <v>heaterSteam process, 2 kg/h , 230Vac 1~, with regulation</v>
      </c>
      <c r="D274" s="644">
        <v>1547</v>
      </c>
      <c r="E274" s="595"/>
      <c r="F274" s="648">
        <f>IF(SELECTION!$C$46="Eur",CODICI!D274,CODICI!D274*SELECTION!$C$48)</f>
        <v>1547</v>
      </c>
    </row>
    <row r="275" spans="1:6" x14ac:dyDescent="0.2">
      <c r="A275" s="54">
        <f t="shared" si="4"/>
        <v>270</v>
      </c>
      <c r="B275" s="41" t="s">
        <v>3178</v>
      </c>
      <c r="C275" s="56" t="str">
        <f>VLOOKUP(B275,LINGUA!$B:$H,2,0)</f>
        <v>heaterSteam 2 kg/h , 230Vac 1~, with regulation, Titanium version</v>
      </c>
      <c r="D275" s="644">
        <v>1705</v>
      </c>
      <c r="E275" s="595"/>
      <c r="F275" s="648">
        <f>IF(SELECTION!$C$46="Eur",CODICI!D275,CODICI!D275*SELECTION!$C$48)</f>
        <v>1705</v>
      </c>
    </row>
    <row r="276" spans="1:6" x14ac:dyDescent="0.2">
      <c r="A276" s="54">
        <f t="shared" si="4"/>
        <v>271</v>
      </c>
      <c r="B276" s="583" t="s">
        <v>3015</v>
      </c>
      <c r="C276" s="584" t="str">
        <f>VLOOKUP(B276,LINGUA!$B:$H,2,0)</f>
        <v>heaterSteam 2 kg/h , 208Vac 1~, with regulation, basic version</v>
      </c>
      <c r="D276" s="645">
        <v>1547</v>
      </c>
      <c r="E276" s="595"/>
      <c r="F276" s="648">
        <f>IF(SELECTION!$C$46="Eur",CODICI!D276,CODICI!D276*SELECTION!$C$48)</f>
        <v>1547</v>
      </c>
    </row>
    <row r="277" spans="1:6" x14ac:dyDescent="0.2">
      <c r="A277" s="54">
        <f t="shared" si="4"/>
        <v>272</v>
      </c>
      <c r="B277" s="583" t="s">
        <v>3016</v>
      </c>
      <c r="C277" s="584" t="str">
        <f>VLOOKUP(B277,LINGUA!$B:$H,2,0)</f>
        <v>heaterSteam 2 kg/h , 208Vac 1~, with regulation, full optional version</v>
      </c>
      <c r="D277" s="645">
        <v>1655</v>
      </c>
      <c r="E277" s="595"/>
      <c r="F277" s="648">
        <f>IF(SELECTION!$C$46="Eur",CODICI!D277,CODICI!D277*SELECTION!$C$48)</f>
        <v>1655</v>
      </c>
    </row>
    <row r="278" spans="1:6" x14ac:dyDescent="0.2">
      <c r="A278" s="54">
        <f t="shared" si="4"/>
        <v>273</v>
      </c>
      <c r="B278" s="583" t="s">
        <v>3017</v>
      </c>
      <c r="C278" s="584" t="str">
        <f>VLOOKUP(B278,LINGUA!$B:$H,2,0)</f>
        <v>heaterSteam 4 kg/h , 230Vac 1~, ON/OFF or proportional, basic version</v>
      </c>
      <c r="D278" s="645" t="e">
        <v>#N/A</v>
      </c>
      <c r="E278" s="595"/>
      <c r="F278" s="648" t="e">
        <f>IF(SELECTION!$C$46="Eur",CODICI!D278,CODICI!D278*SELECTION!$C$48)</f>
        <v>#N/A</v>
      </c>
    </row>
    <row r="279" spans="1:6" x14ac:dyDescent="0.2">
      <c r="A279" s="54">
        <f t="shared" si="4"/>
        <v>274</v>
      </c>
      <c r="B279" s="583" t="s">
        <v>3018</v>
      </c>
      <c r="C279" s="584" t="str">
        <f>VLOOKUP(B279,LINGUA!$B:$H,2,0)</f>
        <v>heaterSteam 4 kg/h , 230Vac 1~, ON/OFF or proportional, full optional version</v>
      </c>
      <c r="D279" s="645" t="e">
        <v>#N/A</v>
      </c>
      <c r="E279" s="595"/>
      <c r="F279" s="648" t="e">
        <f>IF(SELECTION!$C$46="Eur",CODICI!D279,CODICI!D279*SELECTION!$C$48)</f>
        <v>#N/A</v>
      </c>
    </row>
    <row r="280" spans="1:6" x14ac:dyDescent="0.2">
      <c r="A280" s="54">
        <f t="shared" si="4"/>
        <v>275</v>
      </c>
      <c r="B280" s="583" t="s">
        <v>3019</v>
      </c>
      <c r="C280" s="584" t="str">
        <f>VLOOKUP(B280,LINGUA!$B:$H,2,0)</f>
        <v>heaterSteam 4 kg/h , 208Vac 1~, ON/OFF or proportional, basic version</v>
      </c>
      <c r="D280" s="645" t="e">
        <v>#N/A</v>
      </c>
      <c r="E280" s="595"/>
      <c r="F280" s="648" t="e">
        <f>IF(SELECTION!$C$46="Eur",CODICI!D280,CODICI!D280*SELECTION!$C$48)</f>
        <v>#N/A</v>
      </c>
    </row>
    <row r="281" spans="1:6" x14ac:dyDescent="0.2">
      <c r="A281" s="54">
        <f t="shared" si="4"/>
        <v>276</v>
      </c>
      <c r="B281" s="583" t="s">
        <v>3020</v>
      </c>
      <c r="C281" s="584" t="str">
        <f>VLOOKUP(B281,LINGUA!$B:$H,2,0)</f>
        <v>heaterSteam 4 kg/h , 208Vac 1~, ON/OFF or proportional, full optional version</v>
      </c>
      <c r="D281" s="645" t="e">
        <v>#N/A</v>
      </c>
      <c r="E281" s="595"/>
      <c r="F281" s="648" t="e">
        <f>IF(SELECTION!$C$46="Eur",CODICI!D281,CODICI!D281*SELECTION!$C$48)</f>
        <v>#N/A</v>
      </c>
    </row>
    <row r="282" spans="1:6" x14ac:dyDescent="0.2">
      <c r="A282" s="54">
        <f t="shared" si="4"/>
        <v>277</v>
      </c>
      <c r="B282" s="41" t="s">
        <v>3179</v>
      </c>
      <c r="C282" s="56" t="str">
        <f>VLOOKUP(B282,LINGUA!$B:$H,2,0)</f>
        <v>heaterSteam process, 4 kg/h , 230Vac 1~, with regulation</v>
      </c>
      <c r="D282" s="644">
        <v>1655</v>
      </c>
      <c r="E282" s="595"/>
      <c r="F282" s="648">
        <f>IF(SELECTION!$C$46="Eur",CODICI!D282,CODICI!D282*SELECTION!$C$48)</f>
        <v>1655</v>
      </c>
    </row>
    <row r="283" spans="1:6" x14ac:dyDescent="0.2">
      <c r="A283" s="54">
        <f t="shared" si="4"/>
        <v>278</v>
      </c>
      <c r="B283" s="41" t="s">
        <v>3180</v>
      </c>
      <c r="C283" s="56" t="str">
        <f>VLOOKUP(B283,LINGUA!$B:$H,2,0)</f>
        <v>heaterSteam 4 kg/h , 230Vac 1~, with regulation, Titanium version</v>
      </c>
      <c r="D283" s="644">
        <v>1817</v>
      </c>
      <c r="E283" s="595"/>
      <c r="F283" s="648">
        <f>IF(SELECTION!$C$46="Eur",CODICI!D283,CODICI!D283*SELECTION!$C$48)</f>
        <v>1817</v>
      </c>
    </row>
    <row r="284" spans="1:6" x14ac:dyDescent="0.2">
      <c r="A284" s="54">
        <f t="shared" si="4"/>
        <v>279</v>
      </c>
      <c r="B284" s="666" t="s">
        <v>3021</v>
      </c>
      <c r="C284" s="667" t="str">
        <f>VLOOKUP(B284,LINGUA!$B:$H,2,0)</f>
        <v>heaterSteam 4 kg/h , 208Vac 1~, with regulation, basic version</v>
      </c>
      <c r="D284" s="668">
        <v>1655</v>
      </c>
      <c r="E284" s="669"/>
      <c r="F284" s="648">
        <f>IF(SELECTION!$C$46="Eur",CODICI!D284,CODICI!D284*SELECTION!$C$48)</f>
        <v>1655</v>
      </c>
    </row>
    <row r="285" spans="1:6" x14ac:dyDescent="0.2">
      <c r="A285" s="54">
        <f t="shared" si="4"/>
        <v>280</v>
      </c>
      <c r="B285" s="666" t="s">
        <v>3022</v>
      </c>
      <c r="C285" s="667" t="str">
        <f>VLOOKUP(B285,LINGUA!$B:$H,2,0)</f>
        <v>heaterSteam 4 kg/h , 208Vac 1~, with regulation, full optional version</v>
      </c>
      <c r="D285" s="668">
        <v>1764</v>
      </c>
      <c r="E285" s="669"/>
      <c r="F285" s="648">
        <f>IF(SELECTION!$C$46="Eur",CODICI!D285,CODICI!D285*SELECTION!$C$48)</f>
        <v>1764</v>
      </c>
    </row>
    <row r="286" spans="1:6" x14ac:dyDescent="0.2">
      <c r="A286" s="54">
        <f t="shared" si="4"/>
        <v>281</v>
      </c>
      <c r="B286" s="583" t="s">
        <v>3023</v>
      </c>
      <c r="C286" s="584" t="str">
        <f>VLOOKUP(B286,LINGUA!$B:$H,2,0)</f>
        <v>heaterSteam 6 kg/h , 230Vac 1~, ON/OFF or proportional, basic version</v>
      </c>
      <c r="D286" s="645" t="e">
        <v>#N/A</v>
      </c>
      <c r="E286" s="595"/>
      <c r="F286" s="648" t="e">
        <f>IF(SELECTION!$C$46="Eur",CODICI!D286,CODICI!D286*SELECTION!$C$48)</f>
        <v>#N/A</v>
      </c>
    </row>
    <row r="287" spans="1:6" x14ac:dyDescent="0.2">
      <c r="A287" s="54">
        <f t="shared" si="4"/>
        <v>282</v>
      </c>
      <c r="B287" s="583" t="s">
        <v>3024</v>
      </c>
      <c r="C287" s="584" t="str">
        <f>VLOOKUP(B287,LINGUA!$B:$H,2,0)</f>
        <v>heaterSteam 6 kg/h , 230Vac 1~, ON/OFF or proportional, full optional version</v>
      </c>
      <c r="D287" s="645" t="e">
        <v>#N/A</v>
      </c>
      <c r="E287" s="595"/>
      <c r="F287" s="648" t="e">
        <f>IF(SELECTION!$C$46="Eur",CODICI!D287,CODICI!D287*SELECTION!$C$48)</f>
        <v>#N/A</v>
      </c>
    </row>
    <row r="288" spans="1:6" x14ac:dyDescent="0.2">
      <c r="A288" s="54">
        <f t="shared" si="4"/>
        <v>283</v>
      </c>
      <c r="B288" s="583" t="s">
        <v>3025</v>
      </c>
      <c r="C288" s="584" t="str">
        <f>VLOOKUP(B288,LINGUA!$B:$H,2,0)</f>
        <v>heaterSteam 6 kg/h , 230Vac 3~, ON/OFF or proportional, basic version</v>
      </c>
      <c r="D288" s="645" t="e">
        <v>#N/A</v>
      </c>
      <c r="E288" s="595"/>
      <c r="F288" s="648" t="e">
        <f>IF(SELECTION!$C$46="Eur",CODICI!D288,CODICI!D288*SELECTION!$C$48)</f>
        <v>#N/A</v>
      </c>
    </row>
    <row r="289" spans="1:6" x14ac:dyDescent="0.2">
      <c r="A289" s="54">
        <f t="shared" si="4"/>
        <v>284</v>
      </c>
      <c r="B289" s="583" t="s">
        <v>3026</v>
      </c>
      <c r="C289" s="584" t="str">
        <f>VLOOKUP(B289,LINGUA!$B:$H,2,0)</f>
        <v>heaterSteam 6 kg/h , 230Vac 3~, ON/OFF or proportional, full optional version</v>
      </c>
      <c r="D289" s="645" t="e">
        <v>#N/A</v>
      </c>
      <c r="E289" s="595"/>
      <c r="F289" s="648" t="e">
        <f>IF(SELECTION!$C$46="Eur",CODICI!D289,CODICI!D289*SELECTION!$C$48)</f>
        <v>#N/A</v>
      </c>
    </row>
    <row r="290" spans="1:6" x14ac:dyDescent="0.2">
      <c r="A290" s="54">
        <f t="shared" si="4"/>
        <v>285</v>
      </c>
      <c r="B290" s="583" t="s">
        <v>3027</v>
      </c>
      <c r="C290" s="584" t="str">
        <f>VLOOKUP(B290,LINGUA!$B:$H,2,0)</f>
        <v>heaterSteam 6 kg/h , 400Vac 3~, ON/OFF or proportional, basic version</v>
      </c>
      <c r="D290" s="645" t="e">
        <v>#N/A</v>
      </c>
      <c r="E290" s="595"/>
      <c r="F290" s="648" t="e">
        <f>IF(SELECTION!$C$46="Eur",CODICI!D290,CODICI!D290*SELECTION!$C$48)</f>
        <v>#N/A</v>
      </c>
    </row>
    <row r="291" spans="1:6" x14ac:dyDescent="0.2">
      <c r="A291" s="54">
        <f t="shared" si="4"/>
        <v>286</v>
      </c>
      <c r="B291" s="583" t="s">
        <v>3028</v>
      </c>
      <c r="C291" s="584" t="str">
        <f>VLOOKUP(B291,LINGUA!$B:$H,2,0)</f>
        <v>heaterSteam 6 kg/h , 400Vac 3~, ON/OFF or proportional, full optional version</v>
      </c>
      <c r="D291" s="645" t="e">
        <v>#N/A</v>
      </c>
      <c r="E291" s="595"/>
      <c r="F291" s="648" t="e">
        <f>IF(SELECTION!$C$46="Eur",CODICI!D291,CODICI!D291*SELECTION!$C$48)</f>
        <v>#N/A</v>
      </c>
    </row>
    <row r="292" spans="1:6" x14ac:dyDescent="0.2">
      <c r="A292" s="54">
        <f t="shared" si="4"/>
        <v>287</v>
      </c>
      <c r="B292" s="583" t="s">
        <v>3029</v>
      </c>
      <c r="C292" s="584" t="str">
        <f>VLOOKUP(B292,LINGUA!$B:$H,2,0)</f>
        <v>heaterSteam 6 kg/h , 460Vac 3~, ON/OFF or proportional, basic version</v>
      </c>
      <c r="D292" s="645" t="e">
        <v>#N/A</v>
      </c>
      <c r="E292" s="595"/>
      <c r="F292" s="648" t="e">
        <f>IF(SELECTION!$C$46="Eur",CODICI!D292,CODICI!D292*SELECTION!$C$48)</f>
        <v>#N/A</v>
      </c>
    </row>
    <row r="293" spans="1:6" x14ac:dyDescent="0.2">
      <c r="A293" s="54">
        <f t="shared" si="4"/>
        <v>288</v>
      </c>
      <c r="B293" s="583" t="s">
        <v>3030</v>
      </c>
      <c r="C293" s="584" t="str">
        <f>VLOOKUP(B293,LINGUA!$B:$H,2,0)</f>
        <v>heaterSteam 6 kg/h , 460Vac 3~, ON/OFF or proportional, full optional version</v>
      </c>
      <c r="D293" s="645" t="e">
        <v>#N/A</v>
      </c>
      <c r="E293" s="595"/>
      <c r="F293" s="648" t="e">
        <f>IF(SELECTION!$C$46="Eur",CODICI!D293,CODICI!D293*SELECTION!$C$48)</f>
        <v>#N/A</v>
      </c>
    </row>
    <row r="294" spans="1:6" x14ac:dyDescent="0.2">
      <c r="A294" s="54">
        <f t="shared" si="4"/>
        <v>289</v>
      </c>
      <c r="B294" s="583" t="s">
        <v>3031</v>
      </c>
      <c r="C294" s="584" t="str">
        <f>VLOOKUP(B294,LINGUA!$B:$H,2,0)</f>
        <v>heaterSteam 6 kg/h , 575Vac 3~, ON/OFF or proportional, basic version</v>
      </c>
      <c r="D294" s="645" t="e">
        <v>#N/A</v>
      </c>
      <c r="E294" s="595"/>
      <c r="F294" s="648" t="e">
        <f>IF(SELECTION!$C$46="Eur",CODICI!D294,CODICI!D294*SELECTION!$C$48)</f>
        <v>#N/A</v>
      </c>
    </row>
    <row r="295" spans="1:6" x14ac:dyDescent="0.2">
      <c r="A295" s="54">
        <f t="shared" si="4"/>
        <v>290</v>
      </c>
      <c r="B295" s="583" t="s">
        <v>3032</v>
      </c>
      <c r="C295" s="584" t="str">
        <f>VLOOKUP(B295,LINGUA!$B:$H,2,0)</f>
        <v>heaterSteam 6 kg/h , 575Vac 3~, ON/OFF or proportional, full optional version</v>
      </c>
      <c r="D295" s="645" t="e">
        <v>#N/A</v>
      </c>
      <c r="E295" s="595"/>
      <c r="F295" s="648" t="e">
        <f>IF(SELECTION!$C$46="Eur",CODICI!D295,CODICI!D295*SELECTION!$C$48)</f>
        <v>#N/A</v>
      </c>
    </row>
    <row r="296" spans="1:6" x14ac:dyDescent="0.2">
      <c r="A296" s="54">
        <f t="shared" si="4"/>
        <v>291</v>
      </c>
      <c r="B296" s="583" t="s">
        <v>3033</v>
      </c>
      <c r="C296" s="584" t="str">
        <f>VLOOKUP(B296,LINGUA!$B:$H,2,0)</f>
        <v>heaterSteam 6 kg/h , 208Vac 1~, ON/OFF or proportional, basic version</v>
      </c>
      <c r="D296" s="645" t="e">
        <v>#N/A</v>
      </c>
      <c r="E296" s="595"/>
      <c r="F296" s="648" t="e">
        <f>IF(SELECTION!$C$46="Eur",CODICI!D296,CODICI!D296*SELECTION!$C$48)</f>
        <v>#N/A</v>
      </c>
    </row>
    <row r="297" spans="1:6" x14ac:dyDescent="0.2">
      <c r="A297" s="54">
        <f t="shared" si="4"/>
        <v>292</v>
      </c>
      <c r="B297" s="583" t="s">
        <v>3034</v>
      </c>
      <c r="C297" s="584" t="str">
        <f>VLOOKUP(B297,LINGUA!$B:$H,2,0)</f>
        <v>heaterSteam 6 kg/h , 208Vac 1~, ON/OFF or proportional, full optional version</v>
      </c>
      <c r="D297" s="645" t="e">
        <v>#N/A</v>
      </c>
      <c r="E297" s="595"/>
      <c r="F297" s="648" t="e">
        <f>IF(SELECTION!$C$46="Eur",CODICI!D297,CODICI!D297*SELECTION!$C$48)</f>
        <v>#N/A</v>
      </c>
    </row>
    <row r="298" spans="1:6" x14ac:dyDescent="0.2">
      <c r="A298" s="54">
        <f t="shared" si="4"/>
        <v>293</v>
      </c>
      <c r="B298" s="583" t="s">
        <v>3035</v>
      </c>
      <c r="C298" s="584" t="str">
        <f>VLOOKUP(B298,LINGUA!$B:$H,2,0)</f>
        <v>heaterSteam 6 kg/h , 208Vac 3~, ON/OFF or proportional, basic version</v>
      </c>
      <c r="D298" s="645" t="e">
        <v>#N/A</v>
      </c>
      <c r="E298" s="595"/>
      <c r="F298" s="648" t="e">
        <f>IF(SELECTION!$C$46="Eur",CODICI!D298,CODICI!D298*SELECTION!$C$48)</f>
        <v>#N/A</v>
      </c>
    </row>
    <row r="299" spans="1:6" x14ac:dyDescent="0.2">
      <c r="A299" s="54">
        <f t="shared" si="4"/>
        <v>294</v>
      </c>
      <c r="B299" s="583" t="s">
        <v>3036</v>
      </c>
      <c r="C299" s="584" t="str">
        <f>VLOOKUP(B299,LINGUA!$B:$H,2,0)</f>
        <v>heaterSteam 6 kg/h , 208Vac 3~, ON/OFF or proportional, full optional version</v>
      </c>
      <c r="D299" s="645" t="e">
        <v>#N/A</v>
      </c>
      <c r="E299" s="595"/>
      <c r="F299" s="648" t="e">
        <f>IF(SELECTION!$C$46="Eur",CODICI!D299,CODICI!D299*SELECTION!$C$48)</f>
        <v>#N/A</v>
      </c>
    </row>
    <row r="300" spans="1:6" x14ac:dyDescent="0.2">
      <c r="A300" s="54">
        <f t="shared" si="4"/>
        <v>295</v>
      </c>
      <c r="B300" s="41" t="s">
        <v>3181</v>
      </c>
      <c r="C300" s="56" t="str">
        <f>VLOOKUP(B300,LINGUA!$B:$H,2,0)</f>
        <v>heaterSteam process, 6 kg/h , 230Vac 1~, with regulationn</v>
      </c>
      <c r="D300" s="644">
        <v>2226</v>
      </c>
      <c r="E300" s="595"/>
      <c r="F300" s="648">
        <f>IF(SELECTION!$C$46="Eur",CODICI!D300,CODICI!D300*SELECTION!$C$48)</f>
        <v>2226</v>
      </c>
    </row>
    <row r="301" spans="1:6" x14ac:dyDescent="0.2">
      <c r="A301" s="54">
        <f t="shared" si="4"/>
        <v>296</v>
      </c>
      <c r="B301" s="41" t="s">
        <v>3182</v>
      </c>
      <c r="C301" s="56" t="str">
        <f>VLOOKUP(B301,LINGUA!$B:$H,2,0)</f>
        <v>heaterSteam 6 kg/h , 230Vac 1~, with regulation, Titanium version</v>
      </c>
      <c r="D301" s="644">
        <v>2516</v>
      </c>
      <c r="E301" s="595"/>
      <c r="F301" s="648">
        <f>IF(SELECTION!$C$46="Eur",CODICI!D301,CODICI!D301*SELECTION!$C$48)</f>
        <v>2516</v>
      </c>
    </row>
    <row r="302" spans="1:6" x14ac:dyDescent="0.2">
      <c r="A302" s="54">
        <f t="shared" si="4"/>
        <v>297</v>
      </c>
      <c r="B302" s="41" t="s">
        <v>3183</v>
      </c>
      <c r="C302" s="56" t="str">
        <f>VLOOKUP(B302,LINGUA!$B:$H,2,0)</f>
        <v>heaterSteam process, 6 kg/h , 230Vac 3~, with regulation</v>
      </c>
      <c r="D302" s="644">
        <v>2226</v>
      </c>
      <c r="E302" s="595"/>
      <c r="F302" s="648">
        <f>IF(SELECTION!$C$46="Eur",CODICI!D302,CODICI!D302*SELECTION!$C$48)</f>
        <v>2226</v>
      </c>
    </row>
    <row r="303" spans="1:6" x14ac:dyDescent="0.2">
      <c r="A303" s="54">
        <f t="shared" si="4"/>
        <v>298</v>
      </c>
      <c r="B303" s="41" t="s">
        <v>3184</v>
      </c>
      <c r="C303" s="56" t="str">
        <f>VLOOKUP(B303,LINGUA!$B:$H,2,0)</f>
        <v>heaterSteam 6 kg/h , 230Vac 3~, with regulation, Titanium version</v>
      </c>
      <c r="D303" s="644">
        <v>2516</v>
      </c>
      <c r="E303" s="595"/>
      <c r="F303" s="648">
        <f>IF(SELECTION!$C$46="Eur",CODICI!D303,CODICI!D303*SELECTION!$C$48)</f>
        <v>2516</v>
      </c>
    </row>
    <row r="304" spans="1:6" x14ac:dyDescent="0.2">
      <c r="A304" s="54">
        <f t="shared" si="4"/>
        <v>299</v>
      </c>
      <c r="B304" s="41" t="s">
        <v>3185</v>
      </c>
      <c r="C304" s="56" t="str">
        <f>VLOOKUP(B304,LINGUA!$B:$H,2,0)</f>
        <v>heaterSteam process, 6 kg/h , 400Vac 3~, with regulation</v>
      </c>
      <c r="D304" s="644">
        <v>2226</v>
      </c>
      <c r="E304" s="595"/>
      <c r="F304" s="648">
        <f>IF(SELECTION!$C$46="Eur",CODICI!D304,CODICI!D304*SELECTION!$C$48)</f>
        <v>2226</v>
      </c>
    </row>
    <row r="305" spans="1:6" x14ac:dyDescent="0.2">
      <c r="A305" s="54">
        <f t="shared" si="4"/>
        <v>300</v>
      </c>
      <c r="B305" s="41" t="s">
        <v>3186</v>
      </c>
      <c r="C305" s="56" t="str">
        <f>VLOOKUP(B305,LINGUA!$B:$H,2,0)</f>
        <v>heaterSteam 6 kg/h , 400Vac 3~, with regulation, Titanium version</v>
      </c>
      <c r="D305" s="644">
        <v>2516</v>
      </c>
      <c r="E305" s="595"/>
      <c r="F305" s="648">
        <f>IF(SELECTION!$C$46="Eur",CODICI!D305,CODICI!D305*SELECTION!$C$48)</f>
        <v>2516</v>
      </c>
    </row>
    <row r="306" spans="1:6" x14ac:dyDescent="0.2">
      <c r="A306" s="54">
        <f t="shared" si="4"/>
        <v>301</v>
      </c>
      <c r="B306" s="666" t="s">
        <v>3378</v>
      </c>
      <c r="C306" s="667" t="e">
        <f>VLOOKUP(B306,LINGUA!$B:$H,2,0)</f>
        <v>#N/A</v>
      </c>
      <c r="D306" s="668">
        <v>2226</v>
      </c>
      <c r="E306" s="669"/>
      <c r="F306" s="648">
        <f>IF(SELECTION!$C$46="Eur",CODICI!D306,CODICI!D306*SELECTION!$C$48)</f>
        <v>2226</v>
      </c>
    </row>
    <row r="307" spans="1:6" x14ac:dyDescent="0.2">
      <c r="A307" s="54">
        <f t="shared" si="4"/>
        <v>302</v>
      </c>
      <c r="B307" s="666" t="s">
        <v>3379</v>
      </c>
      <c r="C307" s="667" t="e">
        <f>VLOOKUP(B307,LINGUA!$B:$H,2,0)</f>
        <v>#N/A</v>
      </c>
      <c r="D307" s="668">
        <v>2442</v>
      </c>
      <c r="E307" s="669"/>
      <c r="F307" s="648">
        <f>IF(SELECTION!$C$46="Eur",CODICI!D307,CODICI!D307*SELECTION!$C$48)</f>
        <v>2442</v>
      </c>
    </row>
    <row r="308" spans="1:6" x14ac:dyDescent="0.2">
      <c r="A308" s="54">
        <f t="shared" si="4"/>
        <v>303</v>
      </c>
      <c r="B308" s="666" t="s">
        <v>3037</v>
      </c>
      <c r="C308" s="667" t="str">
        <f>VLOOKUP(B308,LINGUA!$B:$H,2,0)</f>
        <v>heaterSteam 6 kg/h , 575Vac 3~, with regulation, basic version</v>
      </c>
      <c r="D308" s="668">
        <v>2226</v>
      </c>
      <c r="E308" s="669"/>
      <c r="F308" s="648">
        <f>IF(SELECTION!$C$46="Eur",CODICI!D308,CODICI!D308*SELECTION!$C$48)</f>
        <v>2226</v>
      </c>
    </row>
    <row r="309" spans="1:6" x14ac:dyDescent="0.2">
      <c r="A309" s="54">
        <f t="shared" si="4"/>
        <v>304</v>
      </c>
      <c r="B309" s="666" t="s">
        <v>3038</v>
      </c>
      <c r="C309" s="667" t="str">
        <f>VLOOKUP(B309,LINGUA!$B:$H,2,0)</f>
        <v>heaterSteam 6 kg/h , 575Vac 3~, with regulation, full optional version</v>
      </c>
      <c r="D309" s="668">
        <v>2442</v>
      </c>
      <c r="E309" s="669"/>
      <c r="F309" s="648">
        <f>IF(SELECTION!$C$46="Eur",CODICI!D309,CODICI!D309*SELECTION!$C$48)</f>
        <v>2442</v>
      </c>
    </row>
    <row r="310" spans="1:6" x14ac:dyDescent="0.2">
      <c r="A310" s="54">
        <f t="shared" si="4"/>
        <v>305</v>
      </c>
      <c r="B310" s="666" t="s">
        <v>3039</v>
      </c>
      <c r="C310" s="667" t="str">
        <f>VLOOKUP(B310,LINGUA!$B:$H,2,0)</f>
        <v>heaterSteam 6 kg/h , 208Vac 1~, with regulation, basic version</v>
      </c>
      <c r="D310" s="668">
        <v>2226</v>
      </c>
      <c r="E310" s="669"/>
      <c r="F310" s="648">
        <f>IF(SELECTION!$C$46="Eur",CODICI!D310,CODICI!D310*SELECTION!$C$48)</f>
        <v>2226</v>
      </c>
    </row>
    <row r="311" spans="1:6" x14ac:dyDescent="0.2">
      <c r="A311" s="54">
        <f t="shared" si="4"/>
        <v>306</v>
      </c>
      <c r="B311" s="666" t="s">
        <v>3040</v>
      </c>
      <c r="C311" s="667" t="str">
        <f>VLOOKUP(B311,LINGUA!$B:$H,2,0)</f>
        <v>heaterSteam 6 kg/h , 208Vac 1~, with regulation, full optional version</v>
      </c>
      <c r="D311" s="668">
        <v>2442</v>
      </c>
      <c r="E311" s="669"/>
      <c r="F311" s="648">
        <f>IF(SELECTION!$C$46="Eur",CODICI!D311,CODICI!D311*SELECTION!$C$48)</f>
        <v>2442</v>
      </c>
    </row>
    <row r="312" spans="1:6" x14ac:dyDescent="0.2">
      <c r="A312" s="54">
        <f t="shared" si="4"/>
        <v>307</v>
      </c>
      <c r="B312" s="666" t="s">
        <v>3041</v>
      </c>
      <c r="C312" s="667" t="str">
        <f>VLOOKUP(B312,LINGUA!$B:$H,2,0)</f>
        <v>heaterSteam 6 kg/h , 208Vac 3~, with regulation, basic version</v>
      </c>
      <c r="D312" s="668">
        <v>2226</v>
      </c>
      <c r="E312" s="669"/>
      <c r="F312" s="648">
        <f>IF(SELECTION!$C$46="Eur",CODICI!D312,CODICI!D312*SELECTION!$C$48)</f>
        <v>2226</v>
      </c>
    </row>
    <row r="313" spans="1:6" x14ac:dyDescent="0.2">
      <c r="A313" s="54">
        <f t="shared" si="4"/>
        <v>308</v>
      </c>
      <c r="B313" s="666" t="s">
        <v>3042</v>
      </c>
      <c r="C313" s="667" t="str">
        <f>VLOOKUP(B313,LINGUA!$B:$H,2,0)</f>
        <v>heaterSteam 6 kg/h , 208Vac 3~, with regulation, full optional version</v>
      </c>
      <c r="D313" s="668">
        <v>2442</v>
      </c>
      <c r="E313" s="669"/>
      <c r="F313" s="648">
        <f>IF(SELECTION!$C$46="Eur",CODICI!D313,CODICI!D313*SELECTION!$C$48)</f>
        <v>2442</v>
      </c>
    </row>
    <row r="314" spans="1:6" x14ac:dyDescent="0.2">
      <c r="A314" s="54">
        <f t="shared" si="4"/>
        <v>309</v>
      </c>
      <c r="B314" s="583" t="s">
        <v>3043</v>
      </c>
      <c r="C314" s="584" t="str">
        <f>VLOOKUP(B314,LINGUA!$B:$H,2,0)</f>
        <v>heaterSteam 10 kg/h , 230Vac 3~, ON/OFF or proportional, basic version</v>
      </c>
      <c r="D314" s="645" t="e">
        <v>#N/A</v>
      </c>
      <c r="E314" s="595"/>
      <c r="F314" s="648" t="e">
        <f>IF(SELECTION!$C$46="Eur",CODICI!D314,CODICI!D314*SELECTION!$C$48)</f>
        <v>#N/A</v>
      </c>
    </row>
    <row r="315" spans="1:6" x14ac:dyDescent="0.2">
      <c r="A315" s="54">
        <f t="shared" si="4"/>
        <v>310</v>
      </c>
      <c r="B315" s="583" t="s">
        <v>3044</v>
      </c>
      <c r="C315" s="584" t="str">
        <f>VLOOKUP(B315,LINGUA!$B:$H,2,0)</f>
        <v>heaterSteam 10 kg/h , 230Vac 3~, ON/OFF or proportional, full optional version</v>
      </c>
      <c r="D315" s="645" t="e">
        <v>#N/A</v>
      </c>
      <c r="E315" s="595"/>
      <c r="F315" s="648" t="e">
        <f>IF(SELECTION!$C$46="Eur",CODICI!D315,CODICI!D315*SELECTION!$C$48)</f>
        <v>#N/A</v>
      </c>
    </row>
    <row r="316" spans="1:6" x14ac:dyDescent="0.2">
      <c r="A316" s="54">
        <f t="shared" si="4"/>
        <v>311</v>
      </c>
      <c r="B316" s="583" t="s">
        <v>3045</v>
      </c>
      <c r="C316" s="584" t="str">
        <f>VLOOKUP(B316,LINGUA!$B:$H,2,0)</f>
        <v>heaterSteam 10 kg/h , 400Vac 3~, ON/OFF or proportional, basic version</v>
      </c>
      <c r="D316" s="645" t="e">
        <v>#N/A</v>
      </c>
      <c r="E316" s="595"/>
      <c r="F316" s="648" t="e">
        <f>IF(SELECTION!$C$46="Eur",CODICI!D316,CODICI!D316*SELECTION!$C$48)</f>
        <v>#N/A</v>
      </c>
    </row>
    <row r="317" spans="1:6" x14ac:dyDescent="0.2">
      <c r="A317" s="54">
        <f t="shared" si="4"/>
        <v>312</v>
      </c>
      <c r="B317" s="583" t="s">
        <v>3046</v>
      </c>
      <c r="C317" s="584" t="str">
        <f>VLOOKUP(B317,LINGUA!$B:$H,2,0)</f>
        <v>heaterSteam 10 kg/h , 400Vac 3~, ON/OFF or proportional, full optional version</v>
      </c>
      <c r="D317" s="645" t="e">
        <v>#N/A</v>
      </c>
      <c r="E317" s="595"/>
      <c r="F317" s="648" t="e">
        <f>IF(SELECTION!$C$46="Eur",CODICI!D317,CODICI!D317*SELECTION!$C$48)</f>
        <v>#N/A</v>
      </c>
    </row>
    <row r="318" spans="1:6" x14ac:dyDescent="0.2">
      <c r="A318" s="54">
        <f t="shared" si="4"/>
        <v>313</v>
      </c>
      <c r="B318" s="583" t="s">
        <v>3047</v>
      </c>
      <c r="C318" s="584" t="str">
        <f>VLOOKUP(B318,LINGUA!$B:$H,2,0)</f>
        <v>heaterSteam 10 kg/h , 460Vac 3~, ON/OFF or proportional, basic version</v>
      </c>
      <c r="D318" s="645" t="e">
        <v>#N/A</v>
      </c>
      <c r="E318" s="595"/>
      <c r="F318" s="648" t="e">
        <f>IF(SELECTION!$C$46="Eur",CODICI!D318,CODICI!D318*SELECTION!$C$48)</f>
        <v>#N/A</v>
      </c>
    </row>
    <row r="319" spans="1:6" x14ac:dyDescent="0.2">
      <c r="A319" s="54">
        <f t="shared" si="4"/>
        <v>314</v>
      </c>
      <c r="B319" s="583" t="s">
        <v>3048</v>
      </c>
      <c r="C319" s="584" t="str">
        <f>VLOOKUP(B319,LINGUA!$B:$H,2,0)</f>
        <v>heaterSteam 10 kg/h , 460Vac 3~, ON/OFF or proportional, full optional version</v>
      </c>
      <c r="D319" s="645" t="e">
        <v>#N/A</v>
      </c>
      <c r="E319" s="595"/>
      <c r="F319" s="648" t="e">
        <f>IF(SELECTION!$C$46="Eur",CODICI!D319,CODICI!D319*SELECTION!$C$48)</f>
        <v>#N/A</v>
      </c>
    </row>
    <row r="320" spans="1:6" x14ac:dyDescent="0.2">
      <c r="A320" s="54">
        <f t="shared" si="4"/>
        <v>315</v>
      </c>
      <c r="B320" s="583" t="s">
        <v>3049</v>
      </c>
      <c r="C320" s="584" t="str">
        <f>VLOOKUP(B320,LINGUA!$B:$H,2,0)</f>
        <v>heaterSteam 10 kg/h , 575Vac 3~, ON/OFF or proportional, basic version</v>
      </c>
      <c r="D320" s="645" t="e">
        <v>#N/A</v>
      </c>
      <c r="E320" s="595"/>
      <c r="F320" s="648" t="e">
        <f>IF(SELECTION!$C$46="Eur",CODICI!D320,CODICI!D320*SELECTION!$C$48)</f>
        <v>#N/A</v>
      </c>
    </row>
    <row r="321" spans="1:6" x14ac:dyDescent="0.2">
      <c r="A321" s="54">
        <f t="shared" si="4"/>
        <v>316</v>
      </c>
      <c r="B321" s="583" t="s">
        <v>3050</v>
      </c>
      <c r="C321" s="584" t="str">
        <f>VLOOKUP(B321,LINGUA!$B:$H,2,0)</f>
        <v>heaterSteam 10 kg/h , 575Vac 3~, ON/OFF or proportional, full optional version</v>
      </c>
      <c r="D321" s="645" t="e">
        <v>#N/A</v>
      </c>
      <c r="E321" s="595"/>
      <c r="F321" s="648" t="e">
        <f>IF(SELECTION!$C$46="Eur",CODICI!D321,CODICI!D321*SELECTION!$C$48)</f>
        <v>#N/A</v>
      </c>
    </row>
    <row r="322" spans="1:6" x14ac:dyDescent="0.2">
      <c r="A322" s="54">
        <f t="shared" si="4"/>
        <v>317</v>
      </c>
      <c r="B322" s="583" t="s">
        <v>3051</v>
      </c>
      <c r="C322" s="584" t="str">
        <f>VLOOKUP(B322,LINGUA!$B:$H,2,0)</f>
        <v>heaterSteam 10 kg/h , 208Vac 3~, ON/OFF or proportional, basic version</v>
      </c>
      <c r="D322" s="645" t="e">
        <v>#N/A</v>
      </c>
      <c r="E322" s="595"/>
      <c r="F322" s="648" t="e">
        <f>IF(SELECTION!$C$46="Eur",CODICI!D322,CODICI!D322*SELECTION!$C$48)</f>
        <v>#N/A</v>
      </c>
    </row>
    <row r="323" spans="1:6" x14ac:dyDescent="0.2">
      <c r="A323" s="54">
        <f t="shared" si="4"/>
        <v>318</v>
      </c>
      <c r="B323" s="583" t="s">
        <v>3052</v>
      </c>
      <c r="C323" s="584" t="str">
        <f>VLOOKUP(B323,LINGUA!$B:$H,2,0)</f>
        <v>heaterSteam 10 kg/h , 208Vac 3~, ON/OFF or proportional, full optional version</v>
      </c>
      <c r="D323" s="645" t="e">
        <v>#N/A</v>
      </c>
      <c r="E323" s="595"/>
      <c r="F323" s="648" t="e">
        <f>IF(SELECTION!$C$46="Eur",CODICI!D323,CODICI!D323*SELECTION!$C$48)</f>
        <v>#N/A</v>
      </c>
    </row>
    <row r="324" spans="1:6" x14ac:dyDescent="0.2">
      <c r="A324" s="54">
        <f t="shared" si="4"/>
        <v>319</v>
      </c>
      <c r="B324" s="41" t="s">
        <v>3189</v>
      </c>
      <c r="C324" s="56" t="str">
        <f>VLOOKUP(B324,LINGUA!$B:$H,2,0)</f>
        <v>heaterSteam process, 10 kg/h , 230Vac 3~, with regulation</v>
      </c>
      <c r="D324" s="644">
        <v>2442</v>
      </c>
      <c r="E324" s="595"/>
      <c r="F324" s="648">
        <f>IF(SELECTION!$C$46="Eur",CODICI!D324,CODICI!D324*SELECTION!$C$48)</f>
        <v>2442</v>
      </c>
    </row>
    <row r="325" spans="1:6" x14ac:dyDescent="0.2">
      <c r="A325" s="54">
        <f t="shared" si="4"/>
        <v>320</v>
      </c>
      <c r="B325" s="41" t="s">
        <v>3190</v>
      </c>
      <c r="C325" s="56" t="str">
        <f>VLOOKUP(B325,LINGUA!$B:$H,2,0)</f>
        <v>heaterSteam 10 kg/h , 230Vac 3~, with regulation, Titanium version</v>
      </c>
      <c r="D325" s="644">
        <v>2740</v>
      </c>
      <c r="E325" s="595"/>
      <c r="F325" s="648">
        <f>IF(SELECTION!$C$46="Eur",CODICI!D325,CODICI!D325*SELECTION!$C$48)</f>
        <v>2740</v>
      </c>
    </row>
    <row r="326" spans="1:6" x14ac:dyDescent="0.2">
      <c r="A326" s="54">
        <f t="shared" si="4"/>
        <v>321</v>
      </c>
      <c r="B326" s="41" t="s">
        <v>3191</v>
      </c>
      <c r="C326" s="56" t="str">
        <f>VLOOKUP(B326,LINGUA!$B:$H,2,0)</f>
        <v>heaterSteam process, 10 kg/h , 400Vac 3~, with regulation</v>
      </c>
      <c r="D326" s="644">
        <v>2442</v>
      </c>
      <c r="E326" s="595"/>
      <c r="F326" s="648">
        <f>IF(SELECTION!$C$46="Eur",CODICI!D326,CODICI!D326*SELECTION!$C$48)</f>
        <v>2442</v>
      </c>
    </row>
    <row r="327" spans="1:6" x14ac:dyDescent="0.2">
      <c r="A327" s="54">
        <f t="shared" si="4"/>
        <v>322</v>
      </c>
      <c r="B327" s="41" t="s">
        <v>3192</v>
      </c>
      <c r="C327" s="56" t="str">
        <f>VLOOKUP(B327,LINGUA!$B:$H,2,0)</f>
        <v>heaterSteam 10 kg/h , 400Vac 3~, with regulation, Titanium version</v>
      </c>
      <c r="D327" s="644">
        <v>2740</v>
      </c>
      <c r="E327" s="595"/>
      <c r="F327" s="648">
        <f>IF(SELECTION!$C$46="Eur",CODICI!D327,CODICI!D327*SELECTION!$C$48)</f>
        <v>2740</v>
      </c>
    </row>
    <row r="328" spans="1:6" x14ac:dyDescent="0.2">
      <c r="A328" s="54">
        <f t="shared" ref="A328:A391" si="5">+A327+1</f>
        <v>323</v>
      </c>
      <c r="B328" s="41" t="s">
        <v>3193</v>
      </c>
      <c r="C328" s="56" t="str">
        <f>VLOOKUP(B328,LINGUA!$B:$H,2,0)</f>
        <v>heaterSteam process, 10 kg/h , 460Vac 3~, with regulation</v>
      </c>
      <c r="D328" s="644">
        <v>2467</v>
      </c>
      <c r="E328" s="595"/>
      <c r="F328" s="648">
        <f>IF(SELECTION!$C$46="Eur",CODICI!D328,CODICI!D328*SELECTION!$C$48)</f>
        <v>2467</v>
      </c>
    </row>
    <row r="329" spans="1:6" x14ac:dyDescent="0.2">
      <c r="A329" s="54">
        <f t="shared" si="5"/>
        <v>324</v>
      </c>
      <c r="B329" s="41" t="s">
        <v>3194</v>
      </c>
      <c r="C329" s="56" t="str">
        <f>VLOOKUP(B329,LINGUA!$B:$H,2,0)</f>
        <v>heaterSteam 10 kg/h , 460Vac 3~, with regulation, Titanium version</v>
      </c>
      <c r="D329" s="644">
        <v>2767</v>
      </c>
      <c r="E329" s="595"/>
      <c r="F329" s="648">
        <f>IF(SELECTION!$C$46="Eur",CODICI!D329,CODICI!D329*SELECTION!$C$48)</f>
        <v>2767</v>
      </c>
    </row>
    <row r="330" spans="1:6" x14ac:dyDescent="0.2">
      <c r="A330" s="54">
        <f t="shared" si="5"/>
        <v>325</v>
      </c>
      <c r="B330" s="666" t="s">
        <v>3053</v>
      </c>
      <c r="C330" s="667" t="str">
        <f>VLOOKUP(B330,LINGUA!$B:$H,2,0)</f>
        <v>heaterSteam 10 kg/h , 575Vac 3~, with regulation, basic version</v>
      </c>
      <c r="D330" s="668">
        <v>2442</v>
      </c>
      <c r="E330" s="669"/>
      <c r="F330" s="648">
        <f>IF(SELECTION!$C$46="Eur",CODICI!D330,CODICI!D330*SELECTION!$C$48)</f>
        <v>2442</v>
      </c>
    </row>
    <row r="331" spans="1:6" x14ac:dyDescent="0.2">
      <c r="A331" s="54">
        <f t="shared" si="5"/>
        <v>326</v>
      </c>
      <c r="B331" s="666" t="s">
        <v>3054</v>
      </c>
      <c r="C331" s="667" t="str">
        <f>VLOOKUP(B331,LINGUA!$B:$H,2,0)</f>
        <v>heaterSteam 10 kg/h , 575Vac 3~, with regulation, full optional version</v>
      </c>
      <c r="D331" s="668">
        <v>2660</v>
      </c>
      <c r="E331" s="669"/>
      <c r="F331" s="648">
        <f>IF(SELECTION!$C$46="Eur",CODICI!D331,CODICI!D331*SELECTION!$C$48)</f>
        <v>2660</v>
      </c>
    </row>
    <row r="332" spans="1:6" x14ac:dyDescent="0.2">
      <c r="A332" s="54">
        <f t="shared" si="5"/>
        <v>327</v>
      </c>
      <c r="B332" s="666" t="s">
        <v>3055</v>
      </c>
      <c r="C332" s="667" t="str">
        <f>VLOOKUP(B332,LINGUA!$B:$H,2,0)</f>
        <v>heaterSteam 10 kg/h , 208Vac 3~, with regulation, basic version</v>
      </c>
      <c r="D332" s="668">
        <v>2442</v>
      </c>
      <c r="E332" s="669"/>
      <c r="F332" s="648">
        <f>IF(SELECTION!$C$46="Eur",CODICI!D332,CODICI!D332*SELECTION!$C$48)</f>
        <v>2442</v>
      </c>
    </row>
    <row r="333" spans="1:6" x14ac:dyDescent="0.2">
      <c r="A333" s="54">
        <f t="shared" si="5"/>
        <v>328</v>
      </c>
      <c r="B333" s="666" t="s">
        <v>3056</v>
      </c>
      <c r="C333" s="667" t="str">
        <f>VLOOKUP(B333,LINGUA!$B:$H,2,0)</f>
        <v>heaterSteam 10 kg/h , 208Vac 3~, with regulation, full optional version</v>
      </c>
      <c r="D333" s="668">
        <v>2660</v>
      </c>
      <c r="E333" s="669"/>
      <c r="F333" s="648">
        <f>IF(SELECTION!$C$46="Eur",CODICI!D333,CODICI!D333*SELECTION!$C$48)</f>
        <v>2660</v>
      </c>
    </row>
    <row r="334" spans="1:6" x14ac:dyDescent="0.2">
      <c r="A334" s="54">
        <f t="shared" si="5"/>
        <v>329</v>
      </c>
      <c r="B334" s="666" t="s">
        <v>3117</v>
      </c>
      <c r="C334" s="667" t="str">
        <f>VLOOKUP(B334,LINGUA!$B:$H,2,0)</f>
        <v>heaterSteam 13 kg/h , 208Vac 3~, with regulation, basic version</v>
      </c>
      <c r="D334" s="668">
        <v>2714</v>
      </c>
      <c r="E334" s="669"/>
      <c r="F334" s="648">
        <f>IF(SELECTION!$C$46="Eur",CODICI!D334,CODICI!D334*SELECTION!$C$48)</f>
        <v>2714</v>
      </c>
    </row>
    <row r="335" spans="1:6" x14ac:dyDescent="0.2">
      <c r="A335" s="54">
        <f t="shared" si="5"/>
        <v>330</v>
      </c>
      <c r="B335" s="666" t="s">
        <v>3118</v>
      </c>
      <c r="C335" s="667" t="str">
        <f>VLOOKUP(B335,LINGUA!$B:$H,2,0)</f>
        <v>heaterSteam 13 kg/h , 208Vac 3~, with regulation, full optional version</v>
      </c>
      <c r="D335" s="668">
        <v>2890</v>
      </c>
      <c r="E335" s="669"/>
      <c r="F335" s="648">
        <f>IF(SELECTION!$C$46="Eur",CODICI!D335,CODICI!D335*SELECTION!$C$48)</f>
        <v>2890</v>
      </c>
    </row>
    <row r="336" spans="1:6" x14ac:dyDescent="0.2">
      <c r="A336" s="54">
        <f t="shared" si="5"/>
        <v>331</v>
      </c>
      <c r="B336" s="41" t="s">
        <v>3195</v>
      </c>
      <c r="C336" s="56" t="str">
        <f>VLOOKUP(B336,LINGUA!$B:$H,2,0)</f>
        <v>heaterSteam process, 13 kg/h , 230Vac 3~, with regulation</v>
      </c>
      <c r="D336" s="644">
        <v>2714</v>
      </c>
      <c r="E336" s="595"/>
      <c r="F336" s="648">
        <f>IF(SELECTION!$C$46="Eur",CODICI!D336,CODICI!D336*SELECTION!$C$48)</f>
        <v>2714</v>
      </c>
    </row>
    <row r="337" spans="1:6" x14ac:dyDescent="0.2">
      <c r="A337" s="54">
        <f t="shared" si="5"/>
        <v>332</v>
      </c>
      <c r="B337" s="41" t="s">
        <v>3196</v>
      </c>
      <c r="C337" s="56" t="str">
        <f>VLOOKUP(B337,LINGUA!$B:$H,2,0)</f>
        <v>heaterSteam 13 kg/h , 230Vac 3~, with regulation, Titanium version</v>
      </c>
      <c r="D337" s="644">
        <v>2978</v>
      </c>
      <c r="E337" s="595"/>
      <c r="F337" s="648">
        <f>IF(SELECTION!$C$46="Eur",CODICI!D337,CODICI!D337*SELECTION!$C$48)</f>
        <v>2978</v>
      </c>
    </row>
    <row r="338" spans="1:6" x14ac:dyDescent="0.2">
      <c r="A338" s="54">
        <f t="shared" si="5"/>
        <v>333</v>
      </c>
      <c r="B338" s="41" t="s">
        <v>3197</v>
      </c>
      <c r="C338" s="56" t="str">
        <f>VLOOKUP(B338,LINGUA!$B:$H,2,0)</f>
        <v>heaterSteam process, 13 kg/h , 400Vac 3~, with regulation</v>
      </c>
      <c r="D338" s="644">
        <v>2714</v>
      </c>
      <c r="E338" s="595"/>
      <c r="F338" s="648">
        <f>IF(SELECTION!$C$46="Eur",CODICI!D338,CODICI!D338*SELECTION!$C$48)</f>
        <v>2714</v>
      </c>
    </row>
    <row r="339" spans="1:6" x14ac:dyDescent="0.2">
      <c r="A339" s="54">
        <f t="shared" si="5"/>
        <v>334</v>
      </c>
      <c r="B339" s="41" t="s">
        <v>3198</v>
      </c>
      <c r="C339" s="56" t="str">
        <f>VLOOKUP(B339,LINGUA!$B:$H,2,0)</f>
        <v>heaterSteam 13 kg/h , 400Vac 3~, with regulation, Titanium version</v>
      </c>
      <c r="D339" s="644">
        <v>2978</v>
      </c>
      <c r="E339" s="595"/>
      <c r="F339" s="648">
        <f>IF(SELECTION!$C$46="Eur",CODICI!D339,CODICI!D339*SELECTION!$C$48)</f>
        <v>2978</v>
      </c>
    </row>
    <row r="340" spans="1:6" x14ac:dyDescent="0.2">
      <c r="A340" s="54">
        <f t="shared" si="5"/>
        <v>335</v>
      </c>
      <c r="B340" s="41" t="s">
        <v>3199</v>
      </c>
      <c r="C340" s="56" t="str">
        <f>VLOOKUP(B340,LINGUA!$B:$H,2,0)</f>
        <v>heaterSteam process, 13 kg/h , 460Vac 3~, with regulation</v>
      </c>
      <c r="D340" s="644">
        <v>2742</v>
      </c>
      <c r="E340" s="595"/>
      <c r="F340" s="648">
        <f>IF(SELECTION!$C$46="Eur",CODICI!D340,CODICI!D340*SELECTION!$C$48)</f>
        <v>2742</v>
      </c>
    </row>
    <row r="341" spans="1:6" x14ac:dyDescent="0.2">
      <c r="A341" s="54">
        <f t="shared" si="5"/>
        <v>336</v>
      </c>
      <c r="B341" s="41" t="s">
        <v>3200</v>
      </c>
      <c r="C341" s="56" t="str">
        <f>VLOOKUP(B341,LINGUA!$B:$H,2,0)</f>
        <v>heaterSteam 13 kg/h , 460Vac 3~, with regulation, Titanium version</v>
      </c>
      <c r="D341" s="644">
        <v>3008</v>
      </c>
      <c r="E341" s="595"/>
      <c r="F341" s="648">
        <f>IF(SELECTION!$C$46="Eur",CODICI!D341,CODICI!D341*SELECTION!$C$48)</f>
        <v>3008</v>
      </c>
    </row>
    <row r="342" spans="1:6" x14ac:dyDescent="0.2">
      <c r="A342" s="54">
        <f t="shared" si="5"/>
        <v>337</v>
      </c>
      <c r="B342" s="666" t="s">
        <v>3119</v>
      </c>
      <c r="C342" s="667" t="str">
        <f>VLOOKUP(B342,LINGUA!$B:$H,2,0)</f>
        <v>heaterSteam 13 kg/h , 575Vac 3~, with regulation, basic version</v>
      </c>
      <c r="D342" s="668">
        <v>2714</v>
      </c>
      <c r="E342" s="669"/>
      <c r="F342" s="648">
        <f>IF(SELECTION!$C$46="Eur",CODICI!D342,CODICI!D342*SELECTION!$C$48)</f>
        <v>2714</v>
      </c>
    </row>
    <row r="343" spans="1:6" x14ac:dyDescent="0.2">
      <c r="A343" s="54">
        <f t="shared" si="5"/>
        <v>338</v>
      </c>
      <c r="B343" s="666" t="s">
        <v>3120</v>
      </c>
      <c r="C343" s="667" t="str">
        <f>VLOOKUP(B343,LINGUA!$B:$H,2,0)</f>
        <v>heaterSteam 13 kg/h , 575Vac 3~, with regulation, full optional version</v>
      </c>
      <c r="D343" s="668">
        <v>2890</v>
      </c>
      <c r="E343" s="669"/>
      <c r="F343" s="648">
        <f>IF(SELECTION!$C$46="Eur",CODICI!D343,CODICI!D343*SELECTION!$C$48)</f>
        <v>2890</v>
      </c>
    </row>
    <row r="344" spans="1:6" x14ac:dyDescent="0.2">
      <c r="A344" s="54">
        <f t="shared" si="5"/>
        <v>339</v>
      </c>
      <c r="B344" s="583" t="s">
        <v>3057</v>
      </c>
      <c r="C344" s="584" t="str">
        <f>VLOOKUP(B344,LINGUA!$B:$H,2,0)</f>
        <v>heaterSteam 20 kg/h , 230Vac 3~, ON/OFF or proportional, basic version</v>
      </c>
      <c r="D344" s="645" t="e">
        <v>#N/A</v>
      </c>
      <c r="E344" s="595"/>
      <c r="F344" s="648" t="e">
        <f>IF(SELECTION!$C$46="Eur",CODICI!D344,CODICI!D344*SELECTION!$C$48)</f>
        <v>#N/A</v>
      </c>
    </row>
    <row r="345" spans="1:6" x14ac:dyDescent="0.2">
      <c r="A345" s="54">
        <f t="shared" si="5"/>
        <v>340</v>
      </c>
      <c r="B345" s="583" t="s">
        <v>3058</v>
      </c>
      <c r="C345" s="584" t="str">
        <f>VLOOKUP(B345,LINGUA!$B:$H,2,0)</f>
        <v>heaterSteam 20 kg/h , 230Vac 3~, ON/OFF or proportional, full optional version</v>
      </c>
      <c r="D345" s="645" t="e">
        <v>#N/A</v>
      </c>
      <c r="E345" s="595"/>
      <c r="F345" s="648" t="e">
        <f>IF(SELECTION!$C$46="Eur",CODICI!D345,CODICI!D345*SELECTION!$C$48)</f>
        <v>#N/A</v>
      </c>
    </row>
    <row r="346" spans="1:6" x14ac:dyDescent="0.2">
      <c r="A346" s="54">
        <f t="shared" si="5"/>
        <v>341</v>
      </c>
      <c r="B346" s="583" t="s">
        <v>3059</v>
      </c>
      <c r="C346" s="584" t="str">
        <f>VLOOKUP(B346,LINGUA!$B:$H,2,0)</f>
        <v>heaterSteam 20 kg/h , 400Vac 3~, ON/OFF or proportional, basic version</v>
      </c>
      <c r="D346" s="645" t="e">
        <v>#N/A</v>
      </c>
      <c r="E346" s="595"/>
      <c r="F346" s="648" t="e">
        <f>IF(SELECTION!$C$46="Eur",CODICI!D346,CODICI!D346*SELECTION!$C$48)</f>
        <v>#N/A</v>
      </c>
    </row>
    <row r="347" spans="1:6" x14ac:dyDescent="0.2">
      <c r="A347" s="54">
        <f t="shared" si="5"/>
        <v>342</v>
      </c>
      <c r="B347" s="583" t="s">
        <v>3060</v>
      </c>
      <c r="C347" s="584" t="str">
        <f>VLOOKUP(B347,LINGUA!$B:$H,2,0)</f>
        <v>heaterSteam 20 kg/h , 400Vac 3~, ON/OFF or proportional, full optional version</v>
      </c>
      <c r="D347" s="645" t="e">
        <v>#N/A</v>
      </c>
      <c r="E347" s="595"/>
      <c r="F347" s="648" t="e">
        <f>IF(SELECTION!$C$46="Eur",CODICI!D347,CODICI!D347*SELECTION!$C$48)</f>
        <v>#N/A</v>
      </c>
    </row>
    <row r="348" spans="1:6" x14ac:dyDescent="0.2">
      <c r="A348" s="54">
        <f t="shared" si="5"/>
        <v>343</v>
      </c>
      <c r="B348" s="583" t="s">
        <v>3061</v>
      </c>
      <c r="C348" s="584" t="str">
        <f>VLOOKUP(B348,LINGUA!$B:$H,2,0)</f>
        <v>heaterSteam 20 kg/h , 460Vac 3~, ON/OFF or proportional, basic version</v>
      </c>
      <c r="D348" s="645" t="e">
        <v>#N/A</v>
      </c>
      <c r="E348" s="595"/>
      <c r="F348" s="648" t="e">
        <f>IF(SELECTION!$C$46="Eur",CODICI!D348,CODICI!D348*SELECTION!$C$48)</f>
        <v>#N/A</v>
      </c>
    </row>
    <row r="349" spans="1:6" x14ac:dyDescent="0.2">
      <c r="A349" s="54">
        <f t="shared" si="5"/>
        <v>344</v>
      </c>
      <c r="B349" s="583" t="s">
        <v>3062</v>
      </c>
      <c r="C349" s="584" t="str">
        <f>VLOOKUP(B349,LINGUA!$B:$H,2,0)</f>
        <v>heaterSteam 20 kg/h , 460Vac 3~, ON/OFF or proportional, full optional version</v>
      </c>
      <c r="D349" s="645" t="e">
        <v>#N/A</v>
      </c>
      <c r="E349" s="595"/>
      <c r="F349" s="648" t="e">
        <f>IF(SELECTION!$C$46="Eur",CODICI!D349,CODICI!D349*SELECTION!$C$48)</f>
        <v>#N/A</v>
      </c>
    </row>
    <row r="350" spans="1:6" x14ac:dyDescent="0.2">
      <c r="A350" s="54">
        <f t="shared" si="5"/>
        <v>345</v>
      </c>
      <c r="B350" s="583" t="s">
        <v>3063</v>
      </c>
      <c r="C350" s="584" t="str">
        <f>VLOOKUP(B350,LINGUA!$B:$H,2,0)</f>
        <v>heaterSteam 20 kg/h , 575Vac 3~, ON/OFF or proportional, basic version</v>
      </c>
      <c r="D350" s="645" t="e">
        <v>#N/A</v>
      </c>
      <c r="E350" s="595"/>
      <c r="F350" s="648" t="e">
        <f>IF(SELECTION!$C$46="Eur",CODICI!D350,CODICI!D350*SELECTION!$C$48)</f>
        <v>#N/A</v>
      </c>
    </row>
    <row r="351" spans="1:6" x14ac:dyDescent="0.2">
      <c r="A351" s="54">
        <f t="shared" si="5"/>
        <v>346</v>
      </c>
      <c r="B351" s="583" t="s">
        <v>3064</v>
      </c>
      <c r="C351" s="584" t="str">
        <f>VLOOKUP(B351,LINGUA!$B:$H,2,0)</f>
        <v>heaterSteam 20 kg/h , 575Vac 3~, ON/OFF or proportional, full optional version</v>
      </c>
      <c r="D351" s="645" t="e">
        <v>#N/A</v>
      </c>
      <c r="E351" s="595"/>
      <c r="F351" s="648" t="e">
        <f>IF(SELECTION!$C$46="Eur",CODICI!D351,CODICI!D351*SELECTION!$C$48)</f>
        <v>#N/A</v>
      </c>
    </row>
    <row r="352" spans="1:6" x14ac:dyDescent="0.2">
      <c r="A352" s="54">
        <f t="shared" si="5"/>
        <v>347</v>
      </c>
      <c r="B352" s="583" t="s">
        <v>3065</v>
      </c>
      <c r="C352" s="584" t="str">
        <f>VLOOKUP(B352,LINGUA!$B:$H,2,0)</f>
        <v>heaterSteam 20 kg/h , 208Vac 3~, ON/OFF or proportional, basic version</v>
      </c>
      <c r="D352" s="645" t="e">
        <v>#N/A</v>
      </c>
      <c r="E352" s="595"/>
      <c r="F352" s="648" t="e">
        <f>IF(SELECTION!$C$46="Eur",CODICI!D352,CODICI!D352*SELECTION!$C$48)</f>
        <v>#N/A</v>
      </c>
    </row>
    <row r="353" spans="1:6" x14ac:dyDescent="0.2">
      <c r="A353" s="54">
        <f t="shared" si="5"/>
        <v>348</v>
      </c>
      <c r="B353" s="583" t="s">
        <v>3066</v>
      </c>
      <c r="C353" s="584" t="str">
        <f>VLOOKUP(B353,LINGUA!$B:$H,2,0)</f>
        <v>heaterSteam 20 kg/h , 208Vac 3~, ON/OFF or proportional, full optional version</v>
      </c>
      <c r="D353" s="645" t="e">
        <v>#N/A</v>
      </c>
      <c r="E353" s="595"/>
      <c r="F353" s="648" t="e">
        <f>IF(SELECTION!$C$46="Eur",CODICI!D353,CODICI!D353*SELECTION!$C$48)</f>
        <v>#N/A</v>
      </c>
    </row>
    <row r="354" spans="1:6" x14ac:dyDescent="0.2">
      <c r="A354" s="54">
        <f t="shared" si="5"/>
        <v>349</v>
      </c>
      <c r="B354" s="41" t="s">
        <v>3201</v>
      </c>
      <c r="C354" s="56" t="str">
        <f>VLOOKUP(B354,LINGUA!$B:$H,2,0)</f>
        <v>heaterSteam process, 20 kg/h , 230Vac 3~, with regulation</v>
      </c>
      <c r="D354" s="644">
        <v>3047</v>
      </c>
      <c r="E354" s="595"/>
      <c r="F354" s="648">
        <f>IF(SELECTION!$C$46="Eur",CODICI!D354,CODICI!D354*SELECTION!$C$48)</f>
        <v>3047</v>
      </c>
    </row>
    <row r="355" spans="1:6" x14ac:dyDescent="0.2">
      <c r="A355" s="54">
        <f t="shared" si="5"/>
        <v>350</v>
      </c>
      <c r="B355" s="41" t="s">
        <v>3202</v>
      </c>
      <c r="C355" s="56" t="str">
        <f>VLOOKUP(B355,LINGUA!$B:$H,2,0)</f>
        <v>heaterSteam 20 kg/h , 230Vac 3~, with regulation, Titanium version</v>
      </c>
      <c r="D355" s="644">
        <v>3493</v>
      </c>
      <c r="E355" s="595"/>
      <c r="F355" s="648">
        <f>IF(SELECTION!$C$46="Eur",CODICI!D355,CODICI!D355*SELECTION!$C$48)</f>
        <v>3493</v>
      </c>
    </row>
    <row r="356" spans="1:6" x14ac:dyDescent="0.2">
      <c r="A356" s="54">
        <f t="shared" si="5"/>
        <v>351</v>
      </c>
      <c r="B356" s="41" t="s">
        <v>3203</v>
      </c>
      <c r="C356" s="56" t="str">
        <f>VLOOKUP(B356,LINGUA!$B:$H,2,0)</f>
        <v>heaterSteam process, 20 kg/h , 400Vac 3~, with regulation</v>
      </c>
      <c r="D356" s="644">
        <v>3047</v>
      </c>
      <c r="E356" s="595"/>
      <c r="F356" s="648">
        <f>IF(SELECTION!$C$46="Eur",CODICI!D356,CODICI!D356*SELECTION!$C$48)</f>
        <v>3047</v>
      </c>
    </row>
    <row r="357" spans="1:6" x14ac:dyDescent="0.2">
      <c r="A357" s="54">
        <f t="shared" si="5"/>
        <v>352</v>
      </c>
      <c r="B357" s="42" t="s">
        <v>3204</v>
      </c>
      <c r="C357" s="56" t="str">
        <f>VLOOKUP(B357,LINGUA!$B:$H,2,0)</f>
        <v>heaterSteam 20 kg/h , 400Vac 3~, with regulation, Titanium version</v>
      </c>
      <c r="D357" s="644">
        <v>3493</v>
      </c>
      <c r="E357" s="595"/>
      <c r="F357" s="648">
        <f>IF(SELECTION!$C$46="Eur",CODICI!D357,CODICI!D357*SELECTION!$C$48)</f>
        <v>3493</v>
      </c>
    </row>
    <row r="358" spans="1:6" x14ac:dyDescent="0.2">
      <c r="A358" s="54">
        <f t="shared" si="5"/>
        <v>353</v>
      </c>
      <c r="B358" s="41" t="s">
        <v>3205</v>
      </c>
      <c r="C358" s="56" t="str">
        <f>VLOOKUP(B358,LINGUA!$B:$H,2,0)</f>
        <v>heaterSteam process, 20 kg/h , 460Vac 3~, with regulation</v>
      </c>
      <c r="D358" s="644">
        <v>3078</v>
      </c>
      <c r="E358" s="595"/>
      <c r="F358" s="648">
        <f>IF(SELECTION!$C$46="Eur",CODICI!D358,CODICI!D358*SELECTION!$C$48)</f>
        <v>3078</v>
      </c>
    </row>
    <row r="359" spans="1:6" x14ac:dyDescent="0.2">
      <c r="A359" s="54">
        <f t="shared" si="5"/>
        <v>354</v>
      </c>
      <c r="B359" s="41" t="s">
        <v>3206</v>
      </c>
      <c r="C359" s="56" t="str">
        <f>VLOOKUP(B359,LINGUA!$B:$H,2,0)</f>
        <v>heaterSteam 20 kg/h , 460Vac 3~, with regulation, Titanium version</v>
      </c>
      <c r="D359" s="644">
        <v>3528</v>
      </c>
      <c r="E359" s="595"/>
      <c r="F359" s="648">
        <f>IF(SELECTION!$C$46="Eur",CODICI!D359,CODICI!D359*SELECTION!$C$48)</f>
        <v>3528</v>
      </c>
    </row>
    <row r="360" spans="1:6" x14ac:dyDescent="0.2">
      <c r="A360" s="54">
        <f t="shared" si="5"/>
        <v>355</v>
      </c>
      <c r="B360" s="666" t="s">
        <v>3067</v>
      </c>
      <c r="C360" s="667" t="str">
        <f>VLOOKUP(B360,LINGUA!$B:$H,2,0)</f>
        <v>heaterSteam 20 kg/h , 575Vac 3~, with regulation, basic version</v>
      </c>
      <c r="D360" s="668">
        <v>3047</v>
      </c>
      <c r="E360" s="669"/>
      <c r="F360" s="648">
        <f>IF(SELECTION!$C$46="Eur",CODICI!D360,CODICI!D360*SELECTION!$C$48)</f>
        <v>3047</v>
      </c>
    </row>
    <row r="361" spans="1:6" x14ac:dyDescent="0.2">
      <c r="A361" s="54">
        <f t="shared" si="5"/>
        <v>356</v>
      </c>
      <c r="B361" s="666" t="s">
        <v>3068</v>
      </c>
      <c r="C361" s="667" t="str">
        <f>VLOOKUP(B361,LINGUA!$B:$H,2,0)</f>
        <v>heaterSteam 20 kg/h , 575Vac 3~, with regulation, full optional version</v>
      </c>
      <c r="D361" s="668">
        <v>3310</v>
      </c>
      <c r="E361" s="669"/>
      <c r="F361" s="648">
        <f>IF(SELECTION!$C$46="Eur",CODICI!D361,CODICI!D361*SELECTION!$C$48)</f>
        <v>3310</v>
      </c>
    </row>
    <row r="362" spans="1:6" x14ac:dyDescent="0.2">
      <c r="A362" s="54">
        <f t="shared" si="5"/>
        <v>357</v>
      </c>
      <c r="B362" s="666" t="s">
        <v>3069</v>
      </c>
      <c r="C362" s="667" t="str">
        <f>VLOOKUP(B362,LINGUA!$B:$H,2,0)</f>
        <v>heaterSteam 20 kg/h , 208Vac 3~, with regulation, basic version</v>
      </c>
      <c r="D362" s="668">
        <v>3047</v>
      </c>
      <c r="E362" s="669"/>
      <c r="F362" s="648">
        <f>IF(SELECTION!$C$46="Eur",CODICI!D362,CODICI!D362*SELECTION!$C$48)</f>
        <v>3047</v>
      </c>
    </row>
    <row r="363" spans="1:6" x14ac:dyDescent="0.2">
      <c r="A363" s="54">
        <f t="shared" si="5"/>
        <v>358</v>
      </c>
      <c r="B363" s="666" t="s">
        <v>3070</v>
      </c>
      <c r="C363" s="667" t="str">
        <f>VLOOKUP(B363,LINGUA!$B:$H,2,0)</f>
        <v>heaterSteam 20 kg/h , 208Vac 3~, with regulation, full optional version</v>
      </c>
      <c r="D363" s="668">
        <v>3310</v>
      </c>
      <c r="E363" s="669"/>
      <c r="F363" s="648">
        <f>IF(SELECTION!$C$46="Eur",CODICI!D363,CODICI!D363*SELECTION!$C$48)</f>
        <v>3310</v>
      </c>
    </row>
    <row r="364" spans="1:6" x14ac:dyDescent="0.2">
      <c r="A364" s="54">
        <f t="shared" si="5"/>
        <v>359</v>
      </c>
      <c r="B364" s="583" t="s">
        <v>3071</v>
      </c>
      <c r="C364" s="584" t="str">
        <f>VLOOKUP(B364,LINGUA!$B:$H,2,0)</f>
        <v>heaterSteam 27 kg/h , 230Vac 3~, ON/OFF or proportional, basic version</v>
      </c>
      <c r="D364" s="645" t="e">
        <v>#N/A</v>
      </c>
      <c r="E364" s="595"/>
      <c r="F364" s="648" t="e">
        <f>IF(SELECTION!$C$46="Eur",CODICI!D364,CODICI!D364*SELECTION!$C$48)</f>
        <v>#N/A</v>
      </c>
    </row>
    <row r="365" spans="1:6" x14ac:dyDescent="0.2">
      <c r="A365" s="54">
        <f t="shared" si="5"/>
        <v>360</v>
      </c>
      <c r="B365" s="583" t="s">
        <v>3072</v>
      </c>
      <c r="C365" s="584" t="str">
        <f>VLOOKUP(B365,LINGUA!$B:$H,2,0)</f>
        <v>heaterSteam 27 kg/h , 230Vac 3~, ON/OFF or proportional, full optional version</v>
      </c>
      <c r="D365" s="645" t="e">
        <v>#N/A</v>
      </c>
      <c r="E365" s="595"/>
      <c r="F365" s="648" t="e">
        <f>IF(SELECTION!$C$46="Eur",CODICI!D365,CODICI!D365*SELECTION!$C$48)</f>
        <v>#N/A</v>
      </c>
    </row>
    <row r="366" spans="1:6" x14ac:dyDescent="0.2">
      <c r="A366" s="54">
        <f t="shared" si="5"/>
        <v>361</v>
      </c>
      <c r="B366" s="583" t="s">
        <v>3073</v>
      </c>
      <c r="C366" s="584" t="str">
        <f>VLOOKUP(B366,LINGUA!$B:$H,2,0)</f>
        <v>heaterSteam 27 kg/h , 400Vac 3~, ON/OFF or proportional, basic version</v>
      </c>
      <c r="D366" s="645" t="e">
        <v>#N/A</v>
      </c>
      <c r="E366" s="595"/>
      <c r="F366" s="648" t="e">
        <f>IF(SELECTION!$C$46="Eur",CODICI!D366,CODICI!D366*SELECTION!$C$48)</f>
        <v>#N/A</v>
      </c>
    </row>
    <row r="367" spans="1:6" x14ac:dyDescent="0.2">
      <c r="A367" s="54">
        <f t="shared" si="5"/>
        <v>362</v>
      </c>
      <c r="B367" s="583" t="s">
        <v>3074</v>
      </c>
      <c r="C367" s="584" t="str">
        <f>VLOOKUP(B367,LINGUA!$B:$H,2,0)</f>
        <v>heaterSteam 27 kg/h , 400Vac 3~, ON/OFF or proportional, full optional version</v>
      </c>
      <c r="D367" s="645" t="e">
        <v>#N/A</v>
      </c>
      <c r="E367" s="595"/>
      <c r="F367" s="648" t="e">
        <f>IF(SELECTION!$C$46="Eur",CODICI!D367,CODICI!D367*SELECTION!$C$48)</f>
        <v>#N/A</v>
      </c>
    </row>
    <row r="368" spans="1:6" x14ac:dyDescent="0.2">
      <c r="A368" s="54">
        <f t="shared" si="5"/>
        <v>363</v>
      </c>
      <c r="B368" s="583" t="s">
        <v>3075</v>
      </c>
      <c r="C368" s="584" t="str">
        <f>VLOOKUP(B368,LINGUA!$B:$H,2,0)</f>
        <v>heaterSteam 27 kg/h , 460Vac 3~, ON/OFF or proportional, basic version</v>
      </c>
      <c r="D368" s="645" t="e">
        <v>#N/A</v>
      </c>
      <c r="E368" s="595"/>
      <c r="F368" s="648" t="e">
        <f>IF(SELECTION!$C$46="Eur",CODICI!D368,CODICI!D368*SELECTION!$C$48)</f>
        <v>#N/A</v>
      </c>
    </row>
    <row r="369" spans="1:6" x14ac:dyDescent="0.2">
      <c r="A369" s="54">
        <f t="shared" si="5"/>
        <v>364</v>
      </c>
      <c r="B369" s="583" t="s">
        <v>3076</v>
      </c>
      <c r="C369" s="584" t="str">
        <f>VLOOKUP(B369,LINGUA!$B:$H,2,0)</f>
        <v>heaterSteam 27 kg/h , 460Vac 3~, ON/OFF or proportional, full optional version</v>
      </c>
      <c r="D369" s="645" t="e">
        <v>#N/A</v>
      </c>
      <c r="E369" s="595"/>
      <c r="F369" s="648" t="e">
        <f>IF(SELECTION!$C$46="Eur",CODICI!D369,CODICI!D369*SELECTION!$C$48)</f>
        <v>#N/A</v>
      </c>
    </row>
    <row r="370" spans="1:6" x14ac:dyDescent="0.2">
      <c r="A370" s="54">
        <f t="shared" si="5"/>
        <v>365</v>
      </c>
      <c r="B370" s="583" t="s">
        <v>3077</v>
      </c>
      <c r="C370" s="584" t="str">
        <f>VLOOKUP(B370,LINGUA!$B:$H,2,0)</f>
        <v>heaterSteam 27 kg/h , 575Vac 3~, ON/OFF or proportional, basic version</v>
      </c>
      <c r="D370" s="645" t="e">
        <v>#N/A</v>
      </c>
      <c r="E370" s="595"/>
      <c r="F370" s="648" t="e">
        <f>IF(SELECTION!$C$46="Eur",CODICI!D370,CODICI!D370*SELECTION!$C$48)</f>
        <v>#N/A</v>
      </c>
    </row>
    <row r="371" spans="1:6" x14ac:dyDescent="0.2">
      <c r="A371" s="54">
        <f t="shared" si="5"/>
        <v>366</v>
      </c>
      <c r="B371" s="583" t="s">
        <v>3078</v>
      </c>
      <c r="C371" s="584" t="str">
        <f>VLOOKUP(B371,LINGUA!$B:$H,2,0)</f>
        <v>heaterSteam 27 kg/h , 575Vac 3~, ON/OFF or proportional, full optional version</v>
      </c>
      <c r="D371" s="645" t="e">
        <v>#N/A</v>
      </c>
      <c r="E371" s="595"/>
      <c r="F371" s="648" t="e">
        <f>IF(SELECTION!$C$46="Eur",CODICI!D371,CODICI!D371*SELECTION!$C$48)</f>
        <v>#N/A</v>
      </c>
    </row>
    <row r="372" spans="1:6" x14ac:dyDescent="0.2">
      <c r="A372" s="54">
        <f t="shared" si="5"/>
        <v>367</v>
      </c>
      <c r="B372" s="583" t="s">
        <v>3079</v>
      </c>
      <c r="C372" s="584" t="str">
        <f>VLOOKUP(B372,LINGUA!$B:$H,2,0)</f>
        <v>heaterSteam 27 kg/h , 208Vac 3~, ON/OFF or proportional, basic version</v>
      </c>
      <c r="D372" s="645" t="e">
        <v>#N/A</v>
      </c>
      <c r="E372" s="595"/>
      <c r="F372" s="648" t="e">
        <f>IF(SELECTION!$C$46="Eur",CODICI!D372,CODICI!D372*SELECTION!$C$48)</f>
        <v>#N/A</v>
      </c>
    </row>
    <row r="373" spans="1:6" x14ac:dyDescent="0.2">
      <c r="A373" s="54">
        <f t="shared" si="5"/>
        <v>368</v>
      </c>
      <c r="B373" s="583" t="s">
        <v>3080</v>
      </c>
      <c r="C373" s="584" t="str">
        <f>VLOOKUP(B373,LINGUA!$B:$H,2,0)</f>
        <v>heaterSteam 27 kg/h , 208Vac 3~, ON/OFF or proportional, full optional version</v>
      </c>
      <c r="D373" s="645" t="e">
        <v>#N/A</v>
      </c>
      <c r="E373" s="595"/>
      <c r="F373" s="648" t="e">
        <f>IF(SELECTION!$C$46="Eur",CODICI!D373,CODICI!D373*SELECTION!$C$48)</f>
        <v>#N/A</v>
      </c>
    </row>
    <row r="374" spans="1:6" x14ac:dyDescent="0.2">
      <c r="A374" s="54">
        <f t="shared" si="5"/>
        <v>369</v>
      </c>
      <c r="B374" s="41" t="s">
        <v>3207</v>
      </c>
      <c r="C374" s="56" t="str">
        <f>VLOOKUP(B374,LINGUA!$B:$H,2,0)</f>
        <v>heaterSteam process, 27 kg/h , 230Vac 3~, with regulation</v>
      </c>
      <c r="D374" s="644">
        <v>3152</v>
      </c>
      <c r="E374" s="595"/>
      <c r="F374" s="648">
        <f>IF(SELECTION!$C$46="Eur",CODICI!D374,CODICI!D374*SELECTION!$C$48)</f>
        <v>3152</v>
      </c>
    </row>
    <row r="375" spans="1:6" x14ac:dyDescent="0.2">
      <c r="A375" s="54">
        <f t="shared" si="5"/>
        <v>370</v>
      </c>
      <c r="B375" s="41" t="s">
        <v>3208</v>
      </c>
      <c r="C375" s="56" t="str">
        <f>VLOOKUP(B375,LINGUA!$B:$H,2,0)</f>
        <v>heaterSteam 27 kg/h , 230Vac 3~, with regulation, Titanium version</v>
      </c>
      <c r="D375" s="644">
        <v>3604</v>
      </c>
      <c r="E375" s="595"/>
      <c r="F375" s="648">
        <f>IF(SELECTION!$C$46="Eur",CODICI!D375,CODICI!D375*SELECTION!$C$48)</f>
        <v>3604</v>
      </c>
    </row>
    <row r="376" spans="1:6" x14ac:dyDescent="0.2">
      <c r="A376" s="54">
        <f t="shared" si="5"/>
        <v>371</v>
      </c>
      <c r="B376" s="41" t="s">
        <v>3209</v>
      </c>
      <c r="C376" s="56" t="str">
        <f>VLOOKUP(B376,LINGUA!$B:$H,2,0)</f>
        <v>heaterSteam process, 27 kg/h , 400Vac 3~, with regulation</v>
      </c>
      <c r="D376" s="644">
        <v>3152</v>
      </c>
      <c r="E376" s="595"/>
      <c r="F376" s="648">
        <f>IF(SELECTION!$C$46="Eur",CODICI!D376,CODICI!D376*SELECTION!$C$48)</f>
        <v>3152</v>
      </c>
    </row>
    <row r="377" spans="1:6" x14ac:dyDescent="0.2">
      <c r="A377" s="54">
        <f t="shared" si="5"/>
        <v>372</v>
      </c>
      <c r="B377" s="41" t="s">
        <v>3210</v>
      </c>
      <c r="C377" s="56" t="str">
        <f>VLOOKUP(B377,LINGUA!$B:$H,2,0)</f>
        <v>heaterSteam 27 kg/h , 400Vac 3~, with regulation, Titanium version</v>
      </c>
      <c r="D377" s="644">
        <v>3604</v>
      </c>
      <c r="E377" s="595"/>
      <c r="F377" s="648">
        <f>IF(SELECTION!$C$46="Eur",CODICI!D377,CODICI!D377*SELECTION!$C$48)</f>
        <v>3604</v>
      </c>
    </row>
    <row r="378" spans="1:6" x14ac:dyDescent="0.2">
      <c r="A378" s="54">
        <f t="shared" si="5"/>
        <v>373</v>
      </c>
      <c r="B378" s="41" t="s">
        <v>3211</v>
      </c>
      <c r="C378" s="56" t="str">
        <f>VLOOKUP(B378,LINGUA!$B:$H,2,0)</f>
        <v>heaterSteam process, 27 kg/h , 460Vac 3~, with regulation</v>
      </c>
      <c r="D378" s="644">
        <v>3184</v>
      </c>
      <c r="E378" s="595"/>
      <c r="F378" s="648">
        <f>IF(SELECTION!$C$46="Eur",CODICI!D378,CODICI!D378*SELECTION!$C$48)</f>
        <v>3184</v>
      </c>
    </row>
    <row r="379" spans="1:6" x14ac:dyDescent="0.2">
      <c r="A379" s="54">
        <f t="shared" si="5"/>
        <v>374</v>
      </c>
      <c r="B379" s="41" t="s">
        <v>3212</v>
      </c>
      <c r="C379" s="56" t="str">
        <f>VLOOKUP(B379,LINGUA!$B:$H,2,0)</f>
        <v>heaterSteam 27 kg/h , 460Vac 3~, with regulation, Titanium version</v>
      </c>
      <c r="D379" s="644">
        <v>3640</v>
      </c>
      <c r="E379" s="595"/>
      <c r="F379" s="648">
        <f>IF(SELECTION!$C$46="Eur",CODICI!D379,CODICI!D379*SELECTION!$C$48)</f>
        <v>3640</v>
      </c>
    </row>
    <row r="380" spans="1:6" x14ac:dyDescent="0.2">
      <c r="A380" s="54">
        <f t="shared" si="5"/>
        <v>375</v>
      </c>
      <c r="B380" s="666" t="s">
        <v>3081</v>
      </c>
      <c r="C380" s="667" t="str">
        <f>VLOOKUP(B380,LINGUA!$B:$H,2,0)</f>
        <v>heaterSteam 27 kg/h , 575Vac 3~, with regulation, basic version</v>
      </c>
      <c r="D380" s="668">
        <v>3152</v>
      </c>
      <c r="E380" s="669"/>
      <c r="F380" s="648">
        <f>IF(SELECTION!$C$46="Eur",CODICI!D380,CODICI!D380*SELECTION!$C$48)</f>
        <v>3152</v>
      </c>
    </row>
    <row r="381" spans="1:6" x14ac:dyDescent="0.2">
      <c r="A381" s="54">
        <f t="shared" si="5"/>
        <v>376</v>
      </c>
      <c r="B381" s="666" t="s">
        <v>3082</v>
      </c>
      <c r="C381" s="667" t="str">
        <f>VLOOKUP(B381,LINGUA!$B:$H,2,0)</f>
        <v>heaterSteam 27 kg/h , 575Vac 3~, with regulation, full optional version</v>
      </c>
      <c r="D381" s="668">
        <v>3415</v>
      </c>
      <c r="E381" s="669"/>
      <c r="F381" s="648">
        <f>IF(SELECTION!$C$46="Eur",CODICI!D381,CODICI!D381*SELECTION!$C$48)</f>
        <v>3415</v>
      </c>
    </row>
    <row r="382" spans="1:6" x14ac:dyDescent="0.2">
      <c r="A382" s="54">
        <f t="shared" si="5"/>
        <v>377</v>
      </c>
      <c r="B382" s="666" t="s">
        <v>3083</v>
      </c>
      <c r="C382" s="667" t="str">
        <f>VLOOKUP(B382,LINGUA!$B:$H,2,0)</f>
        <v>heaterSteam 27 kg/h , 208Vac 3~, with regulation, basic version</v>
      </c>
      <c r="D382" s="668">
        <v>3152</v>
      </c>
      <c r="E382" s="669"/>
      <c r="F382" s="648">
        <f>IF(SELECTION!$C$46="Eur",CODICI!D382,CODICI!D382*SELECTION!$C$48)</f>
        <v>3152</v>
      </c>
    </row>
    <row r="383" spans="1:6" x14ac:dyDescent="0.2">
      <c r="A383" s="54">
        <f t="shared" si="5"/>
        <v>378</v>
      </c>
      <c r="B383" s="666" t="s">
        <v>3084</v>
      </c>
      <c r="C383" s="667" t="str">
        <f>VLOOKUP(B383,LINGUA!$B:$H,2,0)</f>
        <v>heaterSteam 27 kg/h , 208Vac 3~, with regulation, full optional version</v>
      </c>
      <c r="D383" s="668">
        <v>3415</v>
      </c>
      <c r="E383" s="669"/>
      <c r="F383" s="648">
        <f>IF(SELECTION!$C$46="Eur",CODICI!D383,CODICI!D383*SELECTION!$C$48)</f>
        <v>3415</v>
      </c>
    </row>
    <row r="384" spans="1:6" x14ac:dyDescent="0.2">
      <c r="A384" s="54">
        <f t="shared" si="5"/>
        <v>379</v>
      </c>
      <c r="B384" s="583" t="s">
        <v>3085</v>
      </c>
      <c r="C384" s="584" t="str">
        <f>VLOOKUP(B384,LINGUA!$B:$H,2,0)</f>
        <v>heaterSteam 40 kg/h , 230Vac 3~, ON/OFF or proportional, basic version</v>
      </c>
      <c r="D384" s="645" t="e">
        <v>#N/A</v>
      </c>
      <c r="E384" s="595"/>
      <c r="F384" s="648" t="e">
        <f>IF(SELECTION!$C$46="Eur",CODICI!D384,CODICI!D384*SELECTION!$C$48)</f>
        <v>#N/A</v>
      </c>
    </row>
    <row r="385" spans="1:6" x14ac:dyDescent="0.2">
      <c r="A385" s="54">
        <f t="shared" si="5"/>
        <v>380</v>
      </c>
      <c r="B385" s="583" t="s">
        <v>3086</v>
      </c>
      <c r="C385" s="584" t="str">
        <f>VLOOKUP(B385,LINGUA!$B:$H,2,0)</f>
        <v>heaterSteam 40 kg/h , 230Vac 3~, ON/OFF or proportional, full optional version</v>
      </c>
      <c r="D385" s="645" t="e">
        <v>#N/A</v>
      </c>
      <c r="E385" s="595"/>
      <c r="F385" s="648" t="e">
        <f>IF(SELECTION!$C$46="Eur",CODICI!D385,CODICI!D385*SELECTION!$C$48)</f>
        <v>#N/A</v>
      </c>
    </row>
    <row r="386" spans="1:6" x14ac:dyDescent="0.2">
      <c r="A386" s="54">
        <f t="shared" si="5"/>
        <v>381</v>
      </c>
      <c r="B386" s="583" t="s">
        <v>3087</v>
      </c>
      <c r="C386" s="584" t="str">
        <f>VLOOKUP(B386,LINGUA!$B:$H,2,0)</f>
        <v>heaterSteam 40 kg/h , 400Vac 3~, ON/OFF or proportional, basic version</v>
      </c>
      <c r="D386" s="645" t="e">
        <v>#N/A</v>
      </c>
      <c r="E386" s="595"/>
      <c r="F386" s="648" t="e">
        <f>IF(SELECTION!$C$46="Eur",CODICI!D386,CODICI!D386*SELECTION!$C$48)</f>
        <v>#N/A</v>
      </c>
    </row>
    <row r="387" spans="1:6" x14ac:dyDescent="0.2">
      <c r="A387" s="54">
        <f t="shared" si="5"/>
        <v>382</v>
      </c>
      <c r="B387" s="583" t="s">
        <v>3088</v>
      </c>
      <c r="C387" s="584" t="str">
        <f>VLOOKUP(B387,LINGUA!$B:$H,2,0)</f>
        <v>heaterSteam 40 kg/h , 400Vac 3~, ON/OFF or proportional, full optional version</v>
      </c>
      <c r="D387" s="645" t="e">
        <v>#N/A</v>
      </c>
      <c r="E387" s="595"/>
      <c r="F387" s="648" t="e">
        <f>IF(SELECTION!$C$46="Eur",CODICI!D387,CODICI!D387*SELECTION!$C$48)</f>
        <v>#N/A</v>
      </c>
    </row>
    <row r="388" spans="1:6" x14ac:dyDescent="0.2">
      <c r="A388" s="54">
        <f t="shared" si="5"/>
        <v>383</v>
      </c>
      <c r="B388" s="583" t="s">
        <v>3089</v>
      </c>
      <c r="C388" s="584" t="str">
        <f>VLOOKUP(B388,LINGUA!$B:$H,2,0)</f>
        <v>heaterSteam 40 kg/h , 460Vac 3~, ON/OFF or proportional, basic version</v>
      </c>
      <c r="D388" s="645" t="e">
        <v>#N/A</v>
      </c>
      <c r="E388" s="595"/>
      <c r="F388" s="648" t="e">
        <f>IF(SELECTION!$C$46="Eur",CODICI!D388,CODICI!D388*SELECTION!$C$48)</f>
        <v>#N/A</v>
      </c>
    </row>
    <row r="389" spans="1:6" x14ac:dyDescent="0.2">
      <c r="A389" s="54">
        <f t="shared" si="5"/>
        <v>384</v>
      </c>
      <c r="B389" s="583" t="s">
        <v>3090</v>
      </c>
      <c r="C389" s="584" t="str">
        <f>VLOOKUP(B389,LINGUA!$B:$H,2,0)</f>
        <v>heaterSteam 40 kg/h , 460Vac 3~, ON/OFF or proportional, full optional version</v>
      </c>
      <c r="D389" s="645" t="e">
        <v>#N/A</v>
      </c>
      <c r="E389" s="595"/>
      <c r="F389" s="648" t="e">
        <f>IF(SELECTION!$C$46="Eur",CODICI!D389,CODICI!D389*SELECTION!$C$48)</f>
        <v>#N/A</v>
      </c>
    </row>
    <row r="390" spans="1:6" x14ac:dyDescent="0.2">
      <c r="A390" s="54">
        <f t="shared" si="5"/>
        <v>385</v>
      </c>
      <c r="B390" s="583" t="s">
        <v>3091</v>
      </c>
      <c r="C390" s="584" t="str">
        <f>VLOOKUP(B390,LINGUA!$B:$H,2,0)</f>
        <v>heaterSteam 40 kg/h , 575Vac 3~, ON/OFF or proportional, basic version</v>
      </c>
      <c r="D390" s="645" t="e">
        <v>#N/A</v>
      </c>
      <c r="E390" s="595"/>
      <c r="F390" s="648" t="e">
        <f>IF(SELECTION!$C$46="Eur",CODICI!D390,CODICI!D390*SELECTION!$C$48)</f>
        <v>#N/A</v>
      </c>
    </row>
    <row r="391" spans="1:6" x14ac:dyDescent="0.2">
      <c r="A391" s="54">
        <f t="shared" si="5"/>
        <v>386</v>
      </c>
      <c r="B391" s="583" t="s">
        <v>3092</v>
      </c>
      <c r="C391" s="584" t="str">
        <f>VLOOKUP(B391,LINGUA!$B:$H,2,0)</f>
        <v>heaterSteam 40 kg/h , 575Vac 3~, ON/OFF or proportional, full optional version</v>
      </c>
      <c r="D391" s="645" t="e">
        <v>#N/A</v>
      </c>
      <c r="E391" s="595"/>
      <c r="F391" s="648" t="e">
        <f>IF(SELECTION!$C$46="Eur",CODICI!D391,CODICI!D391*SELECTION!$C$48)</f>
        <v>#N/A</v>
      </c>
    </row>
    <row r="392" spans="1:6" x14ac:dyDescent="0.2">
      <c r="A392" s="54">
        <f t="shared" ref="A392:A455" si="6">+A391+1</f>
        <v>387</v>
      </c>
      <c r="B392" s="583" t="s">
        <v>3093</v>
      </c>
      <c r="C392" s="584" t="str">
        <f>VLOOKUP(B392,LINGUA!$B:$H,2,0)</f>
        <v>heaterSteam 40 kg/h , 208Vac 3~, ON/OFF or proportional, basic version</v>
      </c>
      <c r="D392" s="645" t="e">
        <v>#N/A</v>
      </c>
      <c r="E392" s="595"/>
      <c r="F392" s="648" t="e">
        <f>IF(SELECTION!$C$46="Eur",CODICI!D392,CODICI!D392*SELECTION!$C$48)</f>
        <v>#N/A</v>
      </c>
    </row>
    <row r="393" spans="1:6" x14ac:dyDescent="0.2">
      <c r="A393" s="54">
        <f t="shared" si="6"/>
        <v>388</v>
      </c>
      <c r="B393" s="583" t="s">
        <v>3094</v>
      </c>
      <c r="C393" s="584" t="str">
        <f>VLOOKUP(B393,LINGUA!$B:$H,2,0)</f>
        <v>heaterSteam 40 kg/h , 208Vac 3~, ON/OFF or proportional, full optional version</v>
      </c>
      <c r="D393" s="645" t="e">
        <v>#N/A</v>
      </c>
      <c r="E393" s="595"/>
      <c r="F393" s="648" t="e">
        <f>IF(SELECTION!$C$46="Eur",CODICI!D393,CODICI!D393*SELECTION!$C$48)</f>
        <v>#N/A</v>
      </c>
    </row>
    <row r="394" spans="1:6" x14ac:dyDescent="0.2">
      <c r="A394" s="54">
        <f t="shared" si="6"/>
        <v>389</v>
      </c>
      <c r="B394" s="666" t="s">
        <v>3095</v>
      </c>
      <c r="C394" s="667" t="str">
        <f>VLOOKUP(B394,LINGUA!$B:$H,2,0)</f>
        <v>heaterSteam 40 kg/h , 230Vac 3~, with regulation, basic version</v>
      </c>
      <c r="D394" s="668">
        <v>4413</v>
      </c>
      <c r="E394" s="669"/>
      <c r="F394" s="648">
        <f>IF(SELECTION!$C$46="Eur",CODICI!D394,CODICI!D394*SELECTION!$C$48)</f>
        <v>4413</v>
      </c>
    </row>
    <row r="395" spans="1:6" x14ac:dyDescent="0.2">
      <c r="A395" s="54">
        <f t="shared" si="6"/>
        <v>390</v>
      </c>
      <c r="B395" s="666" t="s">
        <v>3096</v>
      </c>
      <c r="C395" s="667" t="str">
        <f>VLOOKUP(B395,LINGUA!$B:$H,2,0)</f>
        <v>heaterSteam 40 kg/h , 230Vac 3~, with regulation, full optional version</v>
      </c>
      <c r="D395" s="668">
        <v>4833</v>
      </c>
      <c r="E395" s="669"/>
      <c r="F395" s="648">
        <f>IF(SELECTION!$C$46="Eur",CODICI!D395,CODICI!D395*SELECTION!$C$48)</f>
        <v>4833</v>
      </c>
    </row>
    <row r="396" spans="1:6" x14ac:dyDescent="0.2">
      <c r="A396" s="54">
        <f t="shared" si="6"/>
        <v>391</v>
      </c>
      <c r="B396" s="41" t="s">
        <v>3213</v>
      </c>
      <c r="C396" s="56" t="str">
        <f>VLOOKUP(B396,LINGUA!$B:$H,2,0)</f>
        <v>heaterSteam process, 40 kg/h , 400Vac 3~, with regulation</v>
      </c>
      <c r="D396" s="644">
        <v>4413</v>
      </c>
      <c r="E396" s="595"/>
      <c r="F396" s="648">
        <f>IF(SELECTION!$C$46="Eur",CODICI!D396,CODICI!D396*SELECTION!$C$48)</f>
        <v>4413</v>
      </c>
    </row>
    <row r="397" spans="1:6" x14ac:dyDescent="0.2">
      <c r="A397" s="54">
        <f t="shared" si="6"/>
        <v>392</v>
      </c>
      <c r="B397" s="41" t="s">
        <v>3214</v>
      </c>
      <c r="C397" s="56" t="str">
        <f>VLOOKUP(B397,LINGUA!$B:$H,2,0)</f>
        <v>heaterSteam 40 kg/h , 400Vac 3~, with regulation, Titanium version</v>
      </c>
      <c r="D397" s="644">
        <v>5131</v>
      </c>
      <c r="E397" s="595"/>
      <c r="F397" s="648">
        <f>IF(SELECTION!$C$46="Eur",CODICI!D397,CODICI!D397*SELECTION!$C$48)</f>
        <v>5131</v>
      </c>
    </row>
    <row r="398" spans="1:6" x14ac:dyDescent="0.2">
      <c r="A398" s="54">
        <f t="shared" si="6"/>
        <v>393</v>
      </c>
      <c r="B398" s="41" t="s">
        <v>3215</v>
      </c>
      <c r="C398" s="56" t="str">
        <f>VLOOKUP(B398,LINGUA!$B:$H,2,0)</f>
        <v>heaterSteam process, 40 kg/h , 460Vac 3~, with regulation</v>
      </c>
      <c r="D398" s="644">
        <v>4458</v>
      </c>
      <c r="E398" s="595"/>
      <c r="F398" s="648">
        <f>IF(SELECTION!$C$46="Eur",CODICI!D398,CODICI!D398*SELECTION!$C$48)</f>
        <v>4458</v>
      </c>
    </row>
    <row r="399" spans="1:6" x14ac:dyDescent="0.2">
      <c r="A399" s="54">
        <f t="shared" si="6"/>
        <v>394</v>
      </c>
      <c r="B399" s="41" t="s">
        <v>3216</v>
      </c>
      <c r="C399" s="56" t="str">
        <f>VLOOKUP(B399,LINGUA!$B:$H,2,0)</f>
        <v>heaterSteam 40 kg/h , 460Vac 3~, with regulation, Titanium version</v>
      </c>
      <c r="D399" s="644">
        <v>5183</v>
      </c>
      <c r="E399" s="595"/>
      <c r="F399" s="648">
        <f>IF(SELECTION!$C$46="Eur",CODICI!D399,CODICI!D399*SELECTION!$C$48)</f>
        <v>5183</v>
      </c>
    </row>
    <row r="400" spans="1:6" x14ac:dyDescent="0.2">
      <c r="A400" s="54">
        <f t="shared" si="6"/>
        <v>395</v>
      </c>
      <c r="B400" s="666" t="s">
        <v>3097</v>
      </c>
      <c r="C400" s="667" t="str">
        <f>VLOOKUP(B400,LINGUA!$B:$H,2,0)</f>
        <v>heaterSteam 40 kg/h , 575Vac 3~, with regulation, basic version</v>
      </c>
      <c r="D400" s="668">
        <v>4413</v>
      </c>
      <c r="E400" s="669"/>
      <c r="F400" s="648">
        <f>IF(SELECTION!$C$46="Eur",CODICI!D400,CODICI!D400*SELECTION!$C$48)</f>
        <v>4413</v>
      </c>
    </row>
    <row r="401" spans="1:6" x14ac:dyDescent="0.2">
      <c r="A401" s="54">
        <f t="shared" si="6"/>
        <v>396</v>
      </c>
      <c r="B401" s="666" t="s">
        <v>3098</v>
      </c>
      <c r="C401" s="667" t="str">
        <f>VLOOKUP(B401,LINGUA!$B:$H,2,0)</f>
        <v>heaterSteam 40 kg/h , 575Vac 3~, with regulation, full optional version</v>
      </c>
      <c r="D401" s="668">
        <v>4833</v>
      </c>
      <c r="E401" s="669"/>
      <c r="F401" s="648">
        <f>IF(SELECTION!$C$46="Eur",CODICI!D401,CODICI!D401*SELECTION!$C$48)</f>
        <v>4833</v>
      </c>
    </row>
    <row r="402" spans="1:6" x14ac:dyDescent="0.2">
      <c r="A402" s="54">
        <f t="shared" si="6"/>
        <v>397</v>
      </c>
      <c r="B402" s="666" t="s">
        <v>3099</v>
      </c>
      <c r="C402" s="667" t="str">
        <f>VLOOKUP(B402,LINGUA!$B:$H,2,0)</f>
        <v>heaterSteam 40 kg/h , 208Vac 3~, with regulation, basic version</v>
      </c>
      <c r="D402" s="668">
        <v>4413</v>
      </c>
      <c r="E402" s="669"/>
      <c r="F402" s="648">
        <f>IF(SELECTION!$C$46="Eur",CODICI!D402,CODICI!D402*SELECTION!$C$48)</f>
        <v>4413</v>
      </c>
    </row>
    <row r="403" spans="1:6" x14ac:dyDescent="0.2">
      <c r="A403" s="54">
        <f t="shared" si="6"/>
        <v>398</v>
      </c>
      <c r="B403" s="666" t="s">
        <v>3100</v>
      </c>
      <c r="C403" s="667" t="str">
        <f>VLOOKUP(B403,LINGUA!$B:$H,2,0)</f>
        <v>heaterSteam 40 kg/h , 208Vac 3~, with regulation, full optional version</v>
      </c>
      <c r="D403" s="668">
        <v>4833</v>
      </c>
      <c r="E403" s="669"/>
      <c r="F403" s="648">
        <f>IF(SELECTION!$C$46="Eur",CODICI!D403,CODICI!D403*SELECTION!$C$48)</f>
        <v>4833</v>
      </c>
    </row>
    <row r="404" spans="1:6" x14ac:dyDescent="0.2">
      <c r="A404" s="54">
        <f t="shared" si="6"/>
        <v>399</v>
      </c>
      <c r="B404" s="41" t="s">
        <v>3217</v>
      </c>
      <c r="C404" s="56" t="str">
        <f>VLOOKUP(B404,LINGUA!$B:$H,2,0)</f>
        <v>heaterSteam process, 53 kg/h , 400Vac 3~, with regulation</v>
      </c>
      <c r="D404" s="644">
        <v>4894</v>
      </c>
      <c r="E404" s="595"/>
      <c r="F404" s="648">
        <f>IF(SELECTION!$C$46="Eur",CODICI!D404,CODICI!D404*SELECTION!$C$48)</f>
        <v>4894</v>
      </c>
    </row>
    <row r="405" spans="1:6" x14ac:dyDescent="0.2">
      <c r="A405" s="54">
        <f t="shared" si="6"/>
        <v>400</v>
      </c>
      <c r="B405" s="41" t="s">
        <v>3218</v>
      </c>
      <c r="C405" s="56" t="str">
        <f>VLOOKUP(B405,LINGUA!$B:$H,2,0)</f>
        <v>heaterSteam 53 kg/h , 400Vac 3~, with regulation, Titanium version</v>
      </c>
      <c r="D405" s="644">
        <v>5616</v>
      </c>
      <c r="E405" s="595"/>
      <c r="F405" s="648">
        <f>IF(SELECTION!$C$46="Eur",CODICI!D405,CODICI!D405*SELECTION!$C$48)</f>
        <v>5616</v>
      </c>
    </row>
    <row r="406" spans="1:6" x14ac:dyDescent="0.2">
      <c r="A406" s="54">
        <f t="shared" si="6"/>
        <v>401</v>
      </c>
      <c r="B406" s="41" t="s">
        <v>3219</v>
      </c>
      <c r="C406" s="56" t="str">
        <f>VLOOKUP(B406,LINGUA!$B:$H,2,0)</f>
        <v>heaterSteam process, 53 kg/h , 460Vac 3~, with regulation</v>
      </c>
      <c r="D406" s="644">
        <v>4943</v>
      </c>
      <c r="E406" s="595"/>
      <c r="F406" s="648">
        <f>IF(SELECTION!$C$46="Eur",CODICI!D406,CODICI!D406*SELECTION!$C$48)</f>
        <v>4943</v>
      </c>
    </row>
    <row r="407" spans="1:6" x14ac:dyDescent="0.2">
      <c r="A407" s="54">
        <f t="shared" si="6"/>
        <v>402</v>
      </c>
      <c r="B407" s="41" t="s">
        <v>3220</v>
      </c>
      <c r="C407" s="56" t="str">
        <f>VLOOKUP(B407,LINGUA!$B:$H,2,0)</f>
        <v>heaterSteam 53 kg/h , 460Vac 3~, with regulation, Titanium version</v>
      </c>
      <c r="D407" s="644">
        <v>5673</v>
      </c>
      <c r="E407" s="595"/>
      <c r="F407" s="648">
        <f>IF(SELECTION!$C$46="Eur",CODICI!D407,CODICI!D407*SELECTION!$C$48)</f>
        <v>5673</v>
      </c>
    </row>
    <row r="408" spans="1:6" x14ac:dyDescent="0.2">
      <c r="A408" s="54">
        <f t="shared" si="6"/>
        <v>403</v>
      </c>
      <c r="B408" s="666" t="s">
        <v>3121</v>
      </c>
      <c r="C408" s="667" t="str">
        <f>VLOOKUP(B408,LINGUA!$B:$H,2,0)</f>
        <v>heaterSteam 53 kg/h , 575Vac 3~, with regulation, basic version</v>
      </c>
      <c r="D408" s="668">
        <v>4894</v>
      </c>
      <c r="E408" s="669"/>
      <c r="F408" s="648">
        <f>IF(SELECTION!$C$46="Eur",CODICI!D408,CODICI!D408*SELECTION!$C$48)</f>
        <v>4894</v>
      </c>
    </row>
    <row r="409" spans="1:6" x14ac:dyDescent="0.2">
      <c r="A409" s="54">
        <f t="shared" si="6"/>
        <v>404</v>
      </c>
      <c r="B409" s="666" t="s">
        <v>3122</v>
      </c>
      <c r="C409" s="667" t="str">
        <f>VLOOKUP(B409,LINGUA!$B:$H,2,0)</f>
        <v>heaterSteam 53 kg/h , 575Vac 3~, with regulation, full optional version</v>
      </c>
      <c r="D409" s="668">
        <v>5401</v>
      </c>
      <c r="E409" s="669"/>
      <c r="F409" s="648">
        <f>IF(SELECTION!$C$46="Eur",CODICI!D409,CODICI!D409*SELECTION!$C$48)</f>
        <v>5401</v>
      </c>
    </row>
    <row r="410" spans="1:6" x14ac:dyDescent="0.2">
      <c r="A410" s="54">
        <f t="shared" si="6"/>
        <v>405</v>
      </c>
      <c r="B410" s="583" t="s">
        <v>3101</v>
      </c>
      <c r="C410" s="584" t="str">
        <f>VLOOKUP(B410,LINGUA!$B:$H,2,0)</f>
        <v>heaterSteam 60 kg/h , 230Vac 3~, ON/OFF or proportional, basic version</v>
      </c>
      <c r="D410" s="645" t="e">
        <v>#N/A</v>
      </c>
      <c r="E410" s="595"/>
      <c r="F410" s="648" t="e">
        <f>IF(SELECTION!$C$46="Eur",CODICI!D410,CODICI!D410*SELECTION!$C$48)</f>
        <v>#N/A</v>
      </c>
    </row>
    <row r="411" spans="1:6" x14ac:dyDescent="0.2">
      <c r="A411" s="54">
        <f t="shared" si="6"/>
        <v>406</v>
      </c>
      <c r="B411" s="583" t="s">
        <v>3102</v>
      </c>
      <c r="C411" s="584" t="str">
        <f>VLOOKUP(B411,LINGUA!$B:$H,2,0)</f>
        <v>heaterSteam 60 kg/h , 230Vac 3~, ON/OFF or proportional, full optional version</v>
      </c>
      <c r="D411" s="645" t="e">
        <v>#N/A</v>
      </c>
      <c r="E411" s="595"/>
      <c r="F411" s="648" t="e">
        <f>IF(SELECTION!$C$46="Eur",CODICI!D411,CODICI!D411*SELECTION!$C$48)</f>
        <v>#N/A</v>
      </c>
    </row>
    <row r="412" spans="1:6" x14ac:dyDescent="0.2">
      <c r="A412" s="54">
        <f t="shared" si="6"/>
        <v>407</v>
      </c>
      <c r="B412" s="583" t="s">
        <v>3103</v>
      </c>
      <c r="C412" s="584" t="str">
        <f>VLOOKUP(B412,LINGUA!$B:$H,2,0)</f>
        <v>heaterSteam 60 kg/h , 400Vac 3~, ON/OFF or proportional, basic version</v>
      </c>
      <c r="D412" s="645" t="e">
        <v>#N/A</v>
      </c>
      <c r="E412" s="595"/>
      <c r="F412" s="648" t="e">
        <f>IF(SELECTION!$C$46="Eur",CODICI!D412,CODICI!D412*SELECTION!$C$48)</f>
        <v>#N/A</v>
      </c>
    </row>
    <row r="413" spans="1:6" x14ac:dyDescent="0.2">
      <c r="A413" s="54">
        <f t="shared" si="6"/>
        <v>408</v>
      </c>
      <c r="B413" s="583" t="s">
        <v>3104</v>
      </c>
      <c r="C413" s="584" t="str">
        <f>VLOOKUP(B413,LINGUA!$B:$H,2,0)</f>
        <v>heaterSteam 60 kg/h , 400Vac 3~, ON/OFF or proportional, full optional version</v>
      </c>
      <c r="D413" s="645" t="e">
        <v>#N/A</v>
      </c>
      <c r="E413" s="595"/>
      <c r="F413" s="648" t="e">
        <f>IF(SELECTION!$C$46="Eur",CODICI!D413,CODICI!D413*SELECTION!$C$48)</f>
        <v>#N/A</v>
      </c>
    </row>
    <row r="414" spans="1:6" x14ac:dyDescent="0.2">
      <c r="A414" s="54">
        <f t="shared" si="6"/>
        <v>409</v>
      </c>
      <c r="B414" s="583" t="s">
        <v>3105</v>
      </c>
      <c r="C414" s="584" t="str">
        <f>VLOOKUP(B414,LINGUA!$B:$H,2,0)</f>
        <v>heaterSteam 60 kg/h , 460Vac 3~, ON/OFF or proportional, basic version</v>
      </c>
      <c r="D414" s="645" t="e">
        <v>#N/A</v>
      </c>
      <c r="E414" s="595"/>
      <c r="F414" s="648" t="e">
        <f>IF(SELECTION!$C$46="Eur",CODICI!D414,CODICI!D414*SELECTION!$C$48)</f>
        <v>#N/A</v>
      </c>
    </row>
    <row r="415" spans="1:6" x14ac:dyDescent="0.2">
      <c r="A415" s="54">
        <f t="shared" si="6"/>
        <v>410</v>
      </c>
      <c r="B415" s="583" t="s">
        <v>3106</v>
      </c>
      <c r="C415" s="584" t="str">
        <f>VLOOKUP(B415,LINGUA!$B:$H,2,0)</f>
        <v>heaterSteam 60 kg/h , 460Vac 3~, ON/OFF or proportional, full optional version</v>
      </c>
      <c r="D415" s="645" t="e">
        <v>#N/A</v>
      </c>
      <c r="E415" s="595"/>
      <c r="F415" s="648" t="e">
        <f>IF(SELECTION!$C$46="Eur",CODICI!D415,CODICI!D415*SELECTION!$C$48)</f>
        <v>#N/A</v>
      </c>
    </row>
    <row r="416" spans="1:6" x14ac:dyDescent="0.2">
      <c r="A416" s="54">
        <f t="shared" si="6"/>
        <v>411</v>
      </c>
      <c r="B416" s="583" t="s">
        <v>3107</v>
      </c>
      <c r="C416" s="584" t="str">
        <f>VLOOKUP(B416,LINGUA!$B:$H,2,0)</f>
        <v>heaterSteam 60 kg/h , 575Vac 3~, ON/OFF or proportional, basic version</v>
      </c>
      <c r="D416" s="645" t="e">
        <v>#N/A</v>
      </c>
      <c r="E416" s="595"/>
      <c r="F416" s="648" t="e">
        <f>IF(SELECTION!$C$46="Eur",CODICI!D416,CODICI!D416*SELECTION!$C$48)</f>
        <v>#N/A</v>
      </c>
    </row>
    <row r="417" spans="1:6" x14ac:dyDescent="0.2">
      <c r="A417" s="54">
        <f t="shared" si="6"/>
        <v>412</v>
      </c>
      <c r="B417" s="583" t="s">
        <v>3108</v>
      </c>
      <c r="C417" s="584" t="str">
        <f>VLOOKUP(B417,LINGUA!$B:$H,2,0)</f>
        <v>heaterSteam 60 kg/h , 575Vac 3~, ON/OFF or proportional, full optional version</v>
      </c>
      <c r="D417" s="645" t="e">
        <v>#N/A</v>
      </c>
      <c r="E417" s="595"/>
      <c r="F417" s="648" t="e">
        <f>IF(SELECTION!$C$46="Eur",CODICI!D417,CODICI!D417*SELECTION!$C$48)</f>
        <v>#N/A</v>
      </c>
    </row>
    <row r="418" spans="1:6" x14ac:dyDescent="0.2">
      <c r="A418" s="54">
        <f t="shared" si="6"/>
        <v>413</v>
      </c>
      <c r="B418" s="583" t="s">
        <v>3109</v>
      </c>
      <c r="C418" s="584" t="str">
        <f>VLOOKUP(B418,LINGUA!$B:$H,2,0)</f>
        <v>heaterSteam 60 kg/h , 208Vac 3~, ON/OFF or proportional, basic version</v>
      </c>
      <c r="D418" s="645" t="e">
        <v>#N/A</v>
      </c>
      <c r="E418" s="595"/>
      <c r="F418" s="648" t="e">
        <f>IF(SELECTION!$C$46="Eur",CODICI!D418,CODICI!D418*SELECTION!$C$48)</f>
        <v>#N/A</v>
      </c>
    </row>
    <row r="419" spans="1:6" x14ac:dyDescent="0.2">
      <c r="A419" s="54">
        <f t="shared" si="6"/>
        <v>414</v>
      </c>
      <c r="B419" s="583" t="s">
        <v>3110</v>
      </c>
      <c r="C419" s="584" t="str">
        <f>VLOOKUP(B419,LINGUA!$B:$H,2,0)</f>
        <v>heaterSteam 60 kg/h , 208Vac 3~, ON/OFF or proportional, full optional version</v>
      </c>
      <c r="D419" s="645" t="e">
        <v>#N/A</v>
      </c>
      <c r="E419" s="595"/>
      <c r="F419" s="648" t="e">
        <f>IF(SELECTION!$C$46="Eur",CODICI!D419,CODICI!D419*SELECTION!$C$48)</f>
        <v>#N/A</v>
      </c>
    </row>
    <row r="420" spans="1:6" x14ac:dyDescent="0.2">
      <c r="A420" s="54">
        <f t="shared" si="6"/>
        <v>415</v>
      </c>
      <c r="B420" s="666" t="s">
        <v>3111</v>
      </c>
      <c r="C420" s="667" t="str">
        <f>VLOOKUP(B420,LINGUA!$B:$H,2,0)</f>
        <v>heaterSteam 60 kg/h , 230Vac 3~, with regulation, basic version</v>
      </c>
      <c r="D420" s="668">
        <v>5253</v>
      </c>
      <c r="E420" s="669"/>
      <c r="F420" s="648">
        <f>IF(SELECTION!$C$46="Eur",CODICI!D420,CODICI!D420*SELECTION!$C$48)</f>
        <v>5253</v>
      </c>
    </row>
    <row r="421" spans="1:6" x14ac:dyDescent="0.2">
      <c r="A421" s="54">
        <f t="shared" si="6"/>
        <v>416</v>
      </c>
      <c r="B421" s="666" t="s">
        <v>3112</v>
      </c>
      <c r="C421" s="667" t="str">
        <f>VLOOKUP(B421,LINGUA!$B:$H,2,0)</f>
        <v>heaterSteam 60 kg/h , 230Vac 3~, with regulation, full optional version</v>
      </c>
      <c r="D421" s="668">
        <v>5778</v>
      </c>
      <c r="E421" s="669"/>
      <c r="F421" s="648">
        <f>IF(SELECTION!$C$46="Eur",CODICI!D421,CODICI!D421*SELECTION!$C$48)</f>
        <v>5778</v>
      </c>
    </row>
    <row r="422" spans="1:6" x14ac:dyDescent="0.2">
      <c r="A422" s="54">
        <f t="shared" si="6"/>
        <v>417</v>
      </c>
      <c r="B422" s="41" t="s">
        <v>3221</v>
      </c>
      <c r="C422" s="56" t="str">
        <f>VLOOKUP(B422,LINGUA!$B:$H,2,0)</f>
        <v>heaterSteam process, 60 kg/h , 400Vac 3~, with regulation</v>
      </c>
      <c r="D422" s="644">
        <v>5253</v>
      </c>
      <c r="E422" s="595"/>
      <c r="F422" s="648">
        <f>IF(SELECTION!$C$46="Eur",CODICI!D422,CODICI!D422*SELECTION!$C$48)</f>
        <v>5253</v>
      </c>
    </row>
    <row r="423" spans="1:6" x14ac:dyDescent="0.2">
      <c r="A423" s="54">
        <f t="shared" si="6"/>
        <v>418</v>
      </c>
      <c r="B423" s="41" t="s">
        <v>3222</v>
      </c>
      <c r="C423" s="56" t="str">
        <f>VLOOKUP(B423,LINGUA!$B:$H,2,0)</f>
        <v>heaterSteam 60 kg/h , 400Vac 3~, with regulation, Titanium version</v>
      </c>
      <c r="D423" s="644">
        <v>6074</v>
      </c>
      <c r="E423" s="595"/>
      <c r="F423" s="648">
        <f>IF(SELECTION!$C$46="Eur",CODICI!D423,CODICI!D423*SELECTION!$C$48)</f>
        <v>6074</v>
      </c>
    </row>
    <row r="424" spans="1:6" x14ac:dyDescent="0.2">
      <c r="A424" s="54">
        <f t="shared" si="6"/>
        <v>419</v>
      </c>
      <c r="B424" s="41" t="s">
        <v>3223</v>
      </c>
      <c r="C424" s="56" t="str">
        <f>VLOOKUP(B424,LINGUA!$B:$H,2,0)</f>
        <v>heaterSteam process, 60 kg/h , 460Vac 3~, with regulation</v>
      </c>
      <c r="D424" s="644">
        <v>5306</v>
      </c>
      <c r="E424" s="595"/>
      <c r="F424" s="648">
        <f>IF(SELECTION!$C$46="Eur",CODICI!D424,CODICI!D424*SELECTION!$C$48)</f>
        <v>5306</v>
      </c>
    </row>
    <row r="425" spans="1:6" x14ac:dyDescent="0.2">
      <c r="A425" s="54">
        <f t="shared" si="6"/>
        <v>420</v>
      </c>
      <c r="B425" s="41" t="s">
        <v>3224</v>
      </c>
      <c r="C425" s="56" t="str">
        <f>VLOOKUP(B425,LINGUA!$B:$H,2,0)</f>
        <v>heaterSteam 60 kg/h , 460Vac 3~, with regulation, Titanium version</v>
      </c>
      <c r="D425" s="644">
        <v>6135</v>
      </c>
      <c r="E425" s="595"/>
      <c r="F425" s="648">
        <f>IF(SELECTION!$C$46="Eur",CODICI!D425,CODICI!D425*SELECTION!$C$48)</f>
        <v>6135</v>
      </c>
    </row>
    <row r="426" spans="1:6" x14ac:dyDescent="0.2">
      <c r="A426" s="54">
        <f t="shared" si="6"/>
        <v>421</v>
      </c>
      <c r="B426" s="666" t="s">
        <v>3113</v>
      </c>
      <c r="C426" s="667" t="str">
        <f>VLOOKUP(B426,LINGUA!$B:$H,2,0)</f>
        <v>heaterSteam 60 kg/h , 575Vac 3~, with regulation, basic version</v>
      </c>
      <c r="D426" s="668">
        <v>5253</v>
      </c>
      <c r="E426" s="669"/>
      <c r="F426" s="648">
        <f>IF(SELECTION!$C$46="Eur",CODICI!D426,CODICI!D426*SELECTION!$C$48)</f>
        <v>5253</v>
      </c>
    </row>
    <row r="427" spans="1:6" x14ac:dyDescent="0.2">
      <c r="A427" s="54">
        <f t="shared" si="6"/>
        <v>422</v>
      </c>
      <c r="B427" s="666" t="s">
        <v>3114</v>
      </c>
      <c r="C427" s="667" t="str">
        <f>VLOOKUP(B427,LINGUA!$B:$H,2,0)</f>
        <v>heaterSteam 60 kg/h , 575Vac 3~, with regulation, full optional version</v>
      </c>
      <c r="D427" s="668">
        <v>5778</v>
      </c>
      <c r="E427" s="669"/>
      <c r="F427" s="648">
        <f>IF(SELECTION!$C$46="Eur",CODICI!D427,CODICI!D427*SELECTION!$C$48)</f>
        <v>5778</v>
      </c>
    </row>
    <row r="428" spans="1:6" x14ac:dyDescent="0.2">
      <c r="A428" s="54">
        <f t="shared" si="6"/>
        <v>423</v>
      </c>
      <c r="B428" s="666" t="s">
        <v>3115</v>
      </c>
      <c r="C428" s="667" t="str">
        <f>VLOOKUP(B428,LINGUA!$B:$H,2,0)</f>
        <v>heaterSteam 60 kg/h , 208Vac 3~, with regulation, basic version</v>
      </c>
      <c r="D428" s="668">
        <v>5253</v>
      </c>
      <c r="E428" s="669"/>
      <c r="F428" s="648">
        <f>IF(SELECTION!$C$46="Eur",CODICI!D428,CODICI!D428*SELECTION!$C$48)</f>
        <v>5253</v>
      </c>
    </row>
    <row r="429" spans="1:6" x14ac:dyDescent="0.2">
      <c r="A429" s="54">
        <f t="shared" si="6"/>
        <v>424</v>
      </c>
      <c r="B429" s="666" t="s">
        <v>3116</v>
      </c>
      <c r="C429" s="667" t="str">
        <f>VLOOKUP(B429,LINGUA!$B:$H,2,0)</f>
        <v>heaterSteam 60 kg/h , 208Vac 3~, with regulation, full optional version</v>
      </c>
      <c r="D429" s="668">
        <v>5778</v>
      </c>
      <c r="E429" s="669"/>
      <c r="F429" s="648">
        <f>IF(SELECTION!$C$46="Eur",CODICI!D429,CODICI!D429*SELECTION!$C$48)</f>
        <v>5778</v>
      </c>
    </row>
    <row r="430" spans="1:6" x14ac:dyDescent="0.2">
      <c r="A430" s="54">
        <f t="shared" si="6"/>
        <v>425</v>
      </c>
      <c r="B430" s="41" t="s">
        <v>3225</v>
      </c>
      <c r="C430" s="56" t="str">
        <f>VLOOKUP(B430,LINGUA!$B:$H,2,0)</f>
        <v>heaterSteam process, 80 kg/h , 400Vac 3~, with regulation</v>
      </c>
      <c r="D430" s="644">
        <v>5955</v>
      </c>
      <c r="E430" s="595"/>
      <c r="F430" s="648">
        <f>IF(SELECTION!$C$46="Eur",CODICI!D430,CODICI!D430*SELECTION!$C$48)</f>
        <v>5955</v>
      </c>
    </row>
    <row r="431" spans="1:6" x14ac:dyDescent="0.2">
      <c r="A431" s="54">
        <f t="shared" si="6"/>
        <v>426</v>
      </c>
      <c r="B431" s="41" t="s">
        <v>3226</v>
      </c>
      <c r="C431" s="56" t="str">
        <f>VLOOKUP(B431,LINGUA!$B:$H,2,0)</f>
        <v>heaterSteam 80 kg/h , 400Vac 3~, with regulation, Titanium version</v>
      </c>
      <c r="D431" s="644">
        <v>6769</v>
      </c>
      <c r="E431" s="595"/>
      <c r="F431" s="648">
        <f>IF(SELECTION!$C$46="Eur",CODICI!D431,CODICI!D431*SELECTION!$C$48)</f>
        <v>6769</v>
      </c>
    </row>
    <row r="432" spans="1:6" x14ac:dyDescent="0.2">
      <c r="A432" s="54">
        <f t="shared" si="6"/>
        <v>427</v>
      </c>
      <c r="B432" s="41" t="s">
        <v>3227</v>
      </c>
      <c r="C432" s="56" t="str">
        <f>VLOOKUP(B432,LINGUA!$B:$H,2,0)</f>
        <v>heaterSteam process, 80 kg/h , 460Vac 3~, with regulation</v>
      </c>
      <c r="D432" s="644">
        <v>6105</v>
      </c>
      <c r="E432" s="595"/>
      <c r="F432" s="648">
        <f>IF(SELECTION!$C$46="Eur",CODICI!D432,CODICI!D432*SELECTION!$C$48)</f>
        <v>6105</v>
      </c>
    </row>
    <row r="433" spans="1:6" x14ac:dyDescent="0.2">
      <c r="A433" s="54">
        <f t="shared" si="6"/>
        <v>428</v>
      </c>
      <c r="B433" s="41" t="s">
        <v>3228</v>
      </c>
      <c r="C433" s="56" t="str">
        <f>VLOOKUP(B433,LINGUA!$B:$H,2,0)</f>
        <v>heaterSteam 80 kg/h , 460Vac 3~, with regulation, Titanium version</v>
      </c>
      <c r="D433" s="644">
        <v>6837</v>
      </c>
      <c r="E433" s="595"/>
      <c r="F433" s="648">
        <f>IF(SELECTION!$C$46="Eur",CODICI!D433,CODICI!D433*SELECTION!$C$48)</f>
        <v>6837</v>
      </c>
    </row>
    <row r="434" spans="1:6" x14ac:dyDescent="0.2">
      <c r="A434" s="54">
        <f t="shared" si="6"/>
        <v>429</v>
      </c>
      <c r="B434" s="666" t="s">
        <v>3123</v>
      </c>
      <c r="C434" s="667" t="str">
        <f>VLOOKUP(B434,LINGUA!$B:$H,2,0)</f>
        <v>heaterSteam 80 kg/h , 575Vac 3~, with regulation, basic version</v>
      </c>
      <c r="D434" s="668">
        <v>5955</v>
      </c>
      <c r="E434" s="669"/>
      <c r="F434" s="648">
        <f>IF(SELECTION!$C$46="Eur",CODICI!D434,CODICI!D434*SELECTION!$C$48)</f>
        <v>5955</v>
      </c>
    </row>
    <row r="435" spans="1:6" x14ac:dyDescent="0.2">
      <c r="A435" s="54">
        <f t="shared" si="6"/>
        <v>430</v>
      </c>
      <c r="B435" s="666" t="s">
        <v>3124</v>
      </c>
      <c r="C435" s="667" t="str">
        <f>VLOOKUP(B435,LINGUA!$B:$H,2,0)</f>
        <v>heaterSteam 80 kg/h , 575Vac 3~, with regulation, full optional version</v>
      </c>
      <c r="D435" s="668">
        <v>6475</v>
      </c>
      <c r="E435" s="669"/>
      <c r="F435" s="648">
        <f>IF(SELECTION!$C$46="Eur",CODICI!D435,CODICI!D435*SELECTION!$C$48)</f>
        <v>6475</v>
      </c>
    </row>
    <row r="436" spans="1:6" x14ac:dyDescent="0.2">
      <c r="A436" s="54">
        <f t="shared" si="6"/>
        <v>431</v>
      </c>
      <c r="B436" s="41" t="s">
        <v>2728</v>
      </c>
      <c r="C436" s="56" t="str">
        <f>VLOOKUP(B436,LINGUA!$B:$H,2,0)</f>
        <v>Gas-fired humidifier 45 kg/h - 230 Vac 1~ (UE market)</v>
      </c>
      <c r="D436" s="646">
        <v>10202</v>
      </c>
      <c r="E436" s="595"/>
      <c r="F436" s="648">
        <f>IF(SELECTION!$C$46="Eur",CODICI!D436,CODICI!D436*SELECTION!$C$48)</f>
        <v>10202</v>
      </c>
    </row>
    <row r="437" spans="1:6" x14ac:dyDescent="0.2">
      <c r="A437" s="54">
        <f t="shared" si="6"/>
        <v>432</v>
      </c>
      <c r="B437" s="41" t="s">
        <v>2729</v>
      </c>
      <c r="C437" s="56" t="str">
        <f>VLOOKUP(B437,LINGUA!$B:$H,2,0)</f>
        <v>Gas-fired humidifier 90 kg/h - 230 Vac 1~(UE market)</v>
      </c>
      <c r="D437" s="646">
        <v>13421</v>
      </c>
      <c r="E437" s="595"/>
      <c r="F437" s="648">
        <f>IF(SELECTION!$C$46="Eur",CODICI!D437,CODICI!D437*SELECTION!$C$48)</f>
        <v>13421</v>
      </c>
    </row>
    <row r="438" spans="1:6" x14ac:dyDescent="0.2">
      <c r="A438" s="54">
        <f t="shared" si="6"/>
        <v>433</v>
      </c>
      <c r="B438" s="41" t="s">
        <v>2730</v>
      </c>
      <c r="C438" s="56" t="str">
        <f>VLOOKUP(B438,LINGUA!$B:$H,2,0)</f>
        <v>Gas-fired humidifier 180 kg/h - 230 Vac 1~(UE market)</v>
      </c>
      <c r="D438" s="646">
        <v>19328</v>
      </c>
      <c r="E438" s="595"/>
      <c r="F438" s="648">
        <f>IF(SELECTION!$C$46="Eur",CODICI!D438,CODICI!D438*SELECTION!$C$48)</f>
        <v>19328</v>
      </c>
    </row>
    <row r="439" spans="1:6" x14ac:dyDescent="0.2">
      <c r="A439" s="54">
        <f t="shared" si="6"/>
        <v>434</v>
      </c>
      <c r="B439" s="41" t="s">
        <v>2731</v>
      </c>
      <c r="C439" s="56" t="str">
        <f>VLOOKUP(B439,LINGUA!$B:$H,2,0)</f>
        <v>Gas-fired humidifier 45 kg/h - 230 Vac 1~(USA market)</v>
      </c>
      <c r="D439" s="647">
        <v>10202</v>
      </c>
      <c r="E439" s="595"/>
      <c r="F439" s="648">
        <f>IF(SELECTION!$C$46="Eur",CODICI!D439,CODICI!D439*SELECTION!$C$48)</f>
        <v>10202</v>
      </c>
    </row>
    <row r="440" spans="1:6" x14ac:dyDescent="0.2">
      <c r="A440" s="54">
        <f t="shared" si="6"/>
        <v>435</v>
      </c>
      <c r="B440" s="41" t="s">
        <v>2732</v>
      </c>
      <c r="C440" s="56" t="str">
        <f>VLOOKUP(B440,LINGUA!$B:$H,2,0)</f>
        <v>Gas-fired humidifier 90 kg/h - 230 Vac 1~ (USA market)</v>
      </c>
      <c r="D440" s="647">
        <v>13421</v>
      </c>
      <c r="E440" s="595"/>
      <c r="F440" s="648">
        <f>IF(SELECTION!$C$46="Eur",CODICI!D440,CODICI!D440*SELECTION!$C$48)</f>
        <v>13421</v>
      </c>
    </row>
    <row r="441" spans="1:6" x14ac:dyDescent="0.2">
      <c r="A441" s="54">
        <f t="shared" si="6"/>
        <v>436</v>
      </c>
      <c r="B441" s="41" t="s">
        <v>2733</v>
      </c>
      <c r="C441" s="56" t="str">
        <f>VLOOKUP(B441,LINGUA!$B:$H,2,0)</f>
        <v>Gas-fired humidifier 180 kg/h - 230 Vac 1~ (USA market)</v>
      </c>
      <c r="D441" s="647">
        <v>19328</v>
      </c>
      <c r="E441" s="595"/>
      <c r="F441" s="648">
        <f>IF(SELECTION!$C$46="Eur",CODICI!D441,CODICI!D441*SELECTION!$C$48)</f>
        <v>19328</v>
      </c>
    </row>
    <row r="442" spans="1:6" x14ac:dyDescent="0.2">
      <c r="A442" s="54">
        <f t="shared" si="6"/>
        <v>437</v>
      </c>
      <c r="C442" s="253"/>
      <c r="D442" s="648"/>
      <c r="E442" s="595"/>
      <c r="F442" s="648">
        <f>IF(SELECTION!$C$46="Eur",CODICI!D442,CODICI!D442*SELECTION!$C$48)</f>
        <v>0</v>
      </c>
    </row>
    <row r="443" spans="1:6" x14ac:dyDescent="0.2">
      <c r="A443" s="54">
        <f t="shared" si="6"/>
        <v>438</v>
      </c>
      <c r="D443" s="648"/>
      <c r="E443" s="595"/>
      <c r="F443" s="648">
        <f>IF(SELECTION!$C$46="Eur",CODICI!D443,CODICI!D443*SELECTION!$C$48)</f>
        <v>0</v>
      </c>
    </row>
    <row r="444" spans="1:6" x14ac:dyDescent="0.2">
      <c r="A444" s="54">
        <f t="shared" si="6"/>
        <v>439</v>
      </c>
      <c r="B444" s="41" t="s">
        <v>2815</v>
      </c>
      <c r="C444" s="41" t="str">
        <f>VLOOKUP(B444,LINGUA!B523:C531,2,0)</f>
        <v>Reverse osmosis system 100 l / h - 230V 50Hz - for steel</v>
      </c>
      <c r="D444" s="644">
        <v>7800</v>
      </c>
      <c r="E444" s="595"/>
      <c r="F444" s="648">
        <f>IF(SELECTION!$C$46="Eur",CODICI!D444,CODICI!D444*SELECTION!$C$48)</f>
        <v>7800</v>
      </c>
    </row>
    <row r="445" spans="1:6" x14ac:dyDescent="0.2">
      <c r="A445" s="54">
        <f t="shared" si="6"/>
        <v>440</v>
      </c>
      <c r="B445" s="41" t="s">
        <v>2773</v>
      </c>
      <c r="C445" s="41" t="str">
        <f>VLOOKUP(B445,LINGUA!B524:C532,2,0)</f>
        <v>Reverse osmosis system 100 l / h - 230V 60Hz - for steel</v>
      </c>
      <c r="D445" s="644">
        <v>7800</v>
      </c>
      <c r="E445" s="595"/>
      <c r="F445" s="648">
        <f>IF(SELECTION!$C$46="Eur",CODICI!D445,CODICI!D445*SELECTION!$C$48)</f>
        <v>7800</v>
      </c>
    </row>
    <row r="446" spans="1:6" x14ac:dyDescent="0.2">
      <c r="A446" s="54">
        <f t="shared" si="6"/>
        <v>441</v>
      </c>
      <c r="B446" s="41" t="s">
        <v>2816</v>
      </c>
      <c r="C446" s="41" t="str">
        <f>VLOOKUP(B446,LINGUA!B525:C533,2,0)</f>
        <v>Reverse osmosis system 320 l / h - 230V 50Hz - for steel</v>
      </c>
      <c r="D446" s="644">
        <v>9300</v>
      </c>
      <c r="E446" s="595"/>
      <c r="F446" s="648">
        <f>IF(SELECTION!$C$46="Eur",CODICI!D446,CODICI!D446*SELECTION!$C$48)</f>
        <v>9300</v>
      </c>
    </row>
    <row r="447" spans="1:6" x14ac:dyDescent="0.2">
      <c r="A447" s="54">
        <f t="shared" si="6"/>
        <v>442</v>
      </c>
      <c r="B447" s="41" t="s">
        <v>2774</v>
      </c>
      <c r="C447" s="41" t="str">
        <f>VLOOKUP(B447,LINGUA!B526:C534,2,0)</f>
        <v>Reverse osmosis system 320 l / h - 230V 60Hz - for steel</v>
      </c>
      <c r="D447" s="644">
        <v>9300</v>
      </c>
      <c r="E447" s="595"/>
      <c r="F447" s="648">
        <f>IF(SELECTION!$C$46="Eur",CODICI!D447,CODICI!D447*SELECTION!$C$48)</f>
        <v>9300</v>
      </c>
    </row>
    <row r="448" spans="1:6" x14ac:dyDescent="0.2">
      <c r="A448" s="54">
        <f t="shared" si="6"/>
        <v>443</v>
      </c>
      <c r="B448" s="41" t="s">
        <v>3169</v>
      </c>
      <c r="C448" s="41" t="str">
        <f>VLOOKUP(B448,LINGUA!B527:C535,2,0)</f>
        <v>Reverse osmosis system 60 l / h - 230V 50Hz - for steel</v>
      </c>
      <c r="D448" s="644">
        <v>3900</v>
      </c>
      <c r="E448" s="595"/>
      <c r="F448" s="648">
        <f>IF(SELECTION!$C$46="Eur",CODICI!D448,CODICI!D448*SELECTION!$C$48)</f>
        <v>3900</v>
      </c>
    </row>
    <row r="449" spans="1:6" x14ac:dyDescent="0.2">
      <c r="A449" s="54">
        <f t="shared" si="6"/>
        <v>444</v>
      </c>
      <c r="B449" s="41" t="s">
        <v>3171</v>
      </c>
      <c r="C449" s="41" t="str">
        <f>VLOOKUP(B449,LINGUA!B528:C536,2,0)</f>
        <v>Reverse osmosis system 60 l / h - 230V 60Hz - for steel</v>
      </c>
      <c r="D449" s="644">
        <v>3900</v>
      </c>
      <c r="E449" s="595"/>
      <c r="F449" s="648">
        <f>IF(SELECTION!$C$46="Eur",CODICI!D449,CODICI!D449*SELECTION!$C$48)</f>
        <v>3900</v>
      </c>
    </row>
    <row r="450" spans="1:6" x14ac:dyDescent="0.2">
      <c r="A450" s="54">
        <f t="shared" si="6"/>
        <v>445</v>
      </c>
      <c r="B450" s="649" t="s">
        <v>3175</v>
      </c>
      <c r="C450" s="649" t="str">
        <f>VLOOKUP(B450,LINGUA!B529:C537,2,0)</f>
        <v>WTS compact 25 KG/H with pump</v>
      </c>
      <c r="D450" s="650">
        <v>2700</v>
      </c>
      <c r="E450" s="595"/>
      <c r="F450" s="648">
        <f>IF(SELECTION!$C$46="Eur",CODICI!D450,CODICI!D450*SELECTION!$C$48)</f>
        <v>2700</v>
      </c>
    </row>
    <row r="451" spans="1:6" x14ac:dyDescent="0.2">
      <c r="A451" s="54">
        <f t="shared" si="6"/>
        <v>446</v>
      </c>
      <c r="B451" s="41" t="s">
        <v>2853</v>
      </c>
      <c r="C451" s="41" t="str">
        <f>VLOOKUP(B451,LINGUA!B530:C538,2,0)</f>
        <v>Kit expansion vessel with hoses and fittings</v>
      </c>
      <c r="D451" s="644">
        <v>171</v>
      </c>
      <c r="E451" s="595"/>
      <c r="F451" s="648">
        <f>IF(SELECTION!$C$46="Eur",CODICI!D451,CODICI!D451*SELECTION!$C$48)</f>
        <v>171</v>
      </c>
    </row>
    <row r="452" spans="1:6" x14ac:dyDescent="0.2">
      <c r="A452" s="54">
        <f t="shared" si="6"/>
        <v>447</v>
      </c>
      <c r="B452" s="23" t="s">
        <v>2796</v>
      </c>
      <c r="C452" s="41" t="str">
        <f>VLOOKUP(B452,LINGUA!B531:C539,2,0)</f>
        <v>AUTOCLAVE 100 Liters (expansion vessel)</v>
      </c>
      <c r="D452" s="644">
        <v>488.2</v>
      </c>
      <c r="E452" s="595"/>
      <c r="F452" s="648">
        <f>IF(SELECTION!$C$46="Eur",CODICI!D452,CODICI!D452*SELECTION!$C$48)</f>
        <v>488.2</v>
      </c>
    </row>
    <row r="453" spans="1:6" x14ac:dyDescent="0.2">
      <c r="A453" s="54">
        <f t="shared" si="6"/>
        <v>448</v>
      </c>
      <c r="B453" s="23" t="s">
        <v>2775</v>
      </c>
      <c r="C453" s="41" t="str">
        <f>VLOOKUP(B453,LINGUA!B532:C540,2,0)</f>
        <v>AUTOCLAVE 200 Liters (expansion vessel)</v>
      </c>
      <c r="D453" s="644">
        <v>747.8</v>
      </c>
      <c r="E453" s="595"/>
      <c r="F453" s="648">
        <f>IF(SELECTION!$C$46="Eur",CODICI!D453,CODICI!D453*SELECTION!$C$48)</f>
        <v>747.8</v>
      </c>
    </row>
    <row r="454" spans="1:6" x14ac:dyDescent="0.2">
      <c r="A454" s="54">
        <f t="shared" si="6"/>
        <v>449</v>
      </c>
      <c r="B454" s="23" t="s">
        <v>2797</v>
      </c>
      <c r="C454" s="41" t="str">
        <f>VLOOKUP(B454,LINGUA!B533:C541,2,0)</f>
        <v>AUTOCLAVE 300 Liters (expansion vessel)</v>
      </c>
      <c r="D454" s="644">
        <v>883.7</v>
      </c>
      <c r="E454" s="595"/>
      <c r="F454" s="648">
        <f>IF(SELECTION!$C$46="Eur",CODICI!D454,CODICI!D454*SELECTION!$C$48)</f>
        <v>883.7</v>
      </c>
    </row>
    <row r="455" spans="1:6" x14ac:dyDescent="0.2">
      <c r="A455" s="54">
        <f t="shared" si="6"/>
        <v>450</v>
      </c>
      <c r="D455" s="648"/>
      <c r="E455" s="595"/>
      <c r="F455" s="648">
        <f>IF(SELECTION!$C$46="Eur",CODICI!D455,CODICI!D455*SELECTION!$C$48)</f>
        <v>0</v>
      </c>
    </row>
    <row r="456" spans="1:6" x14ac:dyDescent="0.2">
      <c r="A456" s="54">
        <f>+A455+1</f>
        <v>451</v>
      </c>
      <c r="B456" s="41" t="s">
        <v>2817</v>
      </c>
      <c r="C456" s="41" t="str">
        <f>VLOOKUP(B456,LINGUA!B535:C543,2,0)</f>
        <v>Antiscale liquid 25Kg (antiscalant)</v>
      </c>
      <c r="D456" s="644">
        <v>229.7</v>
      </c>
      <c r="E456" s="595"/>
      <c r="F456" s="648">
        <f>IF(SELECTION!$C$46="Eur",CODICI!D456,CODICI!D456*SELECTION!$C$48)</f>
        <v>229.7</v>
      </c>
    </row>
    <row r="457" spans="1:6" x14ac:dyDescent="0.2">
      <c r="A457" s="54">
        <f>+A456+1</f>
        <v>452</v>
      </c>
      <c r="B457" s="41" t="s">
        <v>2819</v>
      </c>
      <c r="C457" s="41" t="str">
        <f>VLOOKUP(B457,LINGUA!B536:C544,2,0)</f>
        <v>Antiscale liquid NSF- 25Kg (antiscalant)</v>
      </c>
      <c r="D457" s="644">
        <v>402.7</v>
      </c>
      <c r="E457" s="595"/>
      <c r="F457" s="648">
        <f>IF(SELECTION!$C$46="Eur",CODICI!D457,CODICI!D457*SELECTION!$C$48)</f>
        <v>402.7</v>
      </c>
    </row>
  </sheetData>
  <sheetProtection selectLockedCells="1" selectUnlockedCells="1"/>
  <autoFilter ref="A5:E457"/>
  <phoneticPr fontId="4" type="noConversion"/>
  <pageMargins left="0.56000000000000005" right="0.52" top="1" bottom="1" header="0.51" footer="0.5"/>
  <pageSetup paperSize="9" scale="98" orientation="portrait" r:id="rId1"/>
  <headerFooter alignWithMargins="0">
    <oddHeader>&amp;L&amp;"Arial,Grassetto"&amp;8&amp;D &amp;F</oddHeader>
    <oddFooter>&amp;L&amp;"Arial,Grassetto"&amp;8&amp;A</oddFooter>
  </headerFooter>
  <extLst>
    <ext xmlns:x14="http://schemas.microsoft.com/office/spreadsheetml/2009/9/main" uri="{78C0D931-6437-407d-A8EE-F0AAD7539E65}">
      <x14:conditionalFormattings>
        <x14:conditionalFormatting xmlns:xm="http://schemas.microsoft.com/office/excel/2006/main">
          <x14:cfRule type="expression" priority="3" id="{5CE9D3C0-C95D-472D-8AAC-386B0D225B07}">
            <xm:f>SELECTION!$C$46="Eur"</xm:f>
            <x14:dxf>
              <numFmt numFmtId="170" formatCode="&quot;€&quot;\ #,##0.00"/>
            </x14:dxf>
          </x14:cfRule>
          <x14:cfRule type="expression" priority="2" id="{809BC058-2EFA-40FF-B271-47DE92144407}">
            <xm:f>SELECTION!$C$46="GBP"</xm:f>
            <x14:dxf>
              <numFmt numFmtId="174" formatCode="[$£-809]#,##0.00"/>
            </x14:dxf>
          </x14:cfRule>
          <x14:cfRule type="expression" priority="1" id="{CBA94D2A-5AF9-4AE3-B846-D9DD4DFA1C1B}">
            <xm:f>SELECTION!$C$46="CNY"</xm:f>
            <x14:dxf>
              <numFmt numFmtId="173" formatCode="[$¥-804]#,##0.00"/>
            </x14:dxf>
          </x14:cfRule>
          <xm:sqref>F6:F457</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oglio6" enableFormatConditionsCalculation="0">
    <tabColor indexed="22"/>
  </sheetPr>
  <dimension ref="A1:L942"/>
  <sheetViews>
    <sheetView zoomScale="85" zoomScaleNormal="85" workbookViewId="0">
      <pane ySplit="1" topLeftCell="A2" activePane="bottomLeft" state="frozen"/>
      <selection activeCell="B492" sqref="B492"/>
      <selection pane="bottomLeft" activeCell="C1" sqref="C1:C1048576"/>
    </sheetView>
  </sheetViews>
  <sheetFormatPr defaultColWidth="8.85546875" defaultRowHeight="12.75" x14ac:dyDescent="0.2"/>
  <cols>
    <col min="1" max="1" width="12.42578125" style="28" customWidth="1"/>
    <col min="2" max="2" width="16.28515625" style="23" customWidth="1"/>
    <col min="3" max="3" width="57.7109375" style="287" customWidth="1"/>
    <col min="4" max="4" width="83.42578125" style="105" bestFit="1" customWidth="1"/>
    <col min="5" max="8" width="70.28515625" style="105" bestFit="1" customWidth="1"/>
    <col min="9" max="9" width="5.28515625" style="98" customWidth="1"/>
    <col min="10" max="10" width="19.28515625" style="23" customWidth="1"/>
    <col min="11" max="11" width="8.28515625" style="29" customWidth="1"/>
    <col min="12" max="16384" width="8.85546875" style="29"/>
  </cols>
  <sheetData>
    <row r="1" spans="1:12" ht="51.6" customHeight="1" thickBot="1" x14ac:dyDescent="0.3">
      <c r="A1" s="116"/>
      <c r="B1" s="201" t="s">
        <v>3522</v>
      </c>
      <c r="C1" s="276" t="s">
        <v>1236</v>
      </c>
      <c r="D1" s="104" t="s">
        <v>1235</v>
      </c>
      <c r="E1" s="104" t="s">
        <v>1236</v>
      </c>
      <c r="F1" s="104" t="s">
        <v>1237</v>
      </c>
      <c r="G1" s="104" t="s">
        <v>1239</v>
      </c>
      <c r="H1" s="104" t="s">
        <v>1553</v>
      </c>
    </row>
    <row r="2" spans="1:12" ht="25.5" x14ac:dyDescent="0.2">
      <c r="A2" s="194"/>
      <c r="B2" s="200" t="s">
        <v>2136</v>
      </c>
      <c r="C2" s="277" t="s">
        <v>2137</v>
      </c>
      <c r="D2" s="117" t="s">
        <v>854</v>
      </c>
      <c r="E2" s="117" t="s">
        <v>2137</v>
      </c>
      <c r="F2" s="117"/>
      <c r="G2" s="117"/>
      <c r="H2" s="117" t="s">
        <v>1554</v>
      </c>
      <c r="I2" s="99"/>
      <c r="J2" s="196" t="s">
        <v>86</v>
      </c>
      <c r="K2" s="197"/>
    </row>
    <row r="3" spans="1:12" ht="63.75" x14ac:dyDescent="0.2">
      <c r="A3" s="194"/>
      <c r="B3" s="195" t="str">
        <f>CONCATENATE(IF(A3=1," ",""),C3)</f>
        <v>INSTRUCTIONS: insert input data in grey cells. Results appear in green cells.</v>
      </c>
      <c r="C3" s="278" t="s">
        <v>3510</v>
      </c>
      <c r="D3" s="118" t="s">
        <v>2966</v>
      </c>
      <c r="E3" s="118" t="s">
        <v>3510</v>
      </c>
      <c r="F3" s="118" t="s">
        <v>2967</v>
      </c>
      <c r="G3" s="118" t="s">
        <v>2968</v>
      </c>
      <c r="H3" s="118" t="s">
        <v>2969</v>
      </c>
      <c r="J3" s="196" t="s">
        <v>87</v>
      </c>
      <c r="K3" s="197" t="s">
        <v>87</v>
      </c>
    </row>
    <row r="4" spans="1:12" x14ac:dyDescent="0.2">
      <c r="A4" s="194"/>
      <c r="B4" s="195" t="str">
        <f t="shared" ref="B4:B53" si="0">CONCATENATE(IF(A4=1," ",""),C4)</f>
        <v>Altitude a.s.l.</v>
      </c>
      <c r="C4" s="278" t="s">
        <v>2138</v>
      </c>
      <c r="D4" s="118" t="s">
        <v>885</v>
      </c>
      <c r="E4" s="118" t="s">
        <v>2138</v>
      </c>
      <c r="F4" s="118" t="s">
        <v>2167</v>
      </c>
      <c r="G4" s="118" t="s">
        <v>1068</v>
      </c>
      <c r="H4" s="118" t="s">
        <v>1555</v>
      </c>
      <c r="J4" s="196" t="s">
        <v>88</v>
      </c>
      <c r="K4" s="197" t="s">
        <v>88</v>
      </c>
    </row>
    <row r="5" spans="1:12" x14ac:dyDescent="0.2">
      <c r="A5" s="194"/>
      <c r="B5" s="195" t="str">
        <f t="shared" si="0"/>
        <v>Altitude error</v>
      </c>
      <c r="C5" s="278" t="s">
        <v>2139</v>
      </c>
      <c r="D5" s="118" t="s">
        <v>886</v>
      </c>
      <c r="E5" s="118" t="s">
        <v>2139</v>
      </c>
      <c r="F5" s="118" t="s">
        <v>2168</v>
      </c>
      <c r="G5" s="118" t="s">
        <v>1069</v>
      </c>
      <c r="H5" s="118" t="s">
        <v>1556</v>
      </c>
      <c r="J5" s="196" t="s">
        <v>89</v>
      </c>
      <c r="K5" s="197" t="s">
        <v>89</v>
      </c>
    </row>
    <row r="6" spans="1:12" x14ac:dyDescent="0.2">
      <c r="A6" s="194"/>
      <c r="B6" s="195" t="str">
        <f>CONCATENATE(IF(A6=1," ",""),C6)</f>
        <v>External Air</v>
      </c>
      <c r="C6" s="278" t="s">
        <v>1552</v>
      </c>
      <c r="D6" s="118" t="s">
        <v>1551</v>
      </c>
      <c r="E6" s="118" t="s">
        <v>1552</v>
      </c>
      <c r="F6" s="118"/>
      <c r="G6" s="118"/>
      <c r="H6" s="118" t="s">
        <v>2015</v>
      </c>
      <c r="J6" s="196" t="s">
        <v>90</v>
      </c>
      <c r="K6" s="197" t="s">
        <v>90</v>
      </c>
    </row>
    <row r="7" spans="1:12" ht="25.5" x14ac:dyDescent="0.2">
      <c r="A7" s="194"/>
      <c r="B7" s="195" t="str">
        <f t="shared" si="0"/>
        <v>Air after the humidifier</v>
      </c>
      <c r="C7" s="278" t="s">
        <v>2140</v>
      </c>
      <c r="D7" s="118" t="s">
        <v>887</v>
      </c>
      <c r="E7" s="118" t="s">
        <v>2140</v>
      </c>
      <c r="F7" s="118" t="s">
        <v>2169</v>
      </c>
      <c r="G7" s="118" t="s">
        <v>1070</v>
      </c>
      <c r="H7" s="118" t="s">
        <v>1557</v>
      </c>
      <c r="J7" s="196" t="s">
        <v>91</v>
      </c>
      <c r="K7" s="197" t="s">
        <v>91</v>
      </c>
    </row>
    <row r="8" spans="1:12" x14ac:dyDescent="0.2">
      <c r="A8" s="194"/>
      <c r="B8" s="195" t="str">
        <f t="shared" si="0"/>
        <v>m</v>
      </c>
      <c r="C8" s="278" t="s">
        <v>867</v>
      </c>
      <c r="D8" s="118" t="s">
        <v>867</v>
      </c>
      <c r="E8" s="118" t="s">
        <v>867</v>
      </c>
      <c r="F8" s="118" t="s">
        <v>867</v>
      </c>
      <c r="G8" s="118" t="s">
        <v>867</v>
      </c>
      <c r="H8" s="118" t="s">
        <v>867</v>
      </c>
      <c r="J8" s="196" t="s">
        <v>860</v>
      </c>
      <c r="K8" s="197" t="s">
        <v>860</v>
      </c>
    </row>
    <row r="9" spans="1:12" x14ac:dyDescent="0.2">
      <c r="A9" s="194"/>
      <c r="B9" s="195" t="str">
        <f t="shared" si="0"/>
        <v>Relative humidity</v>
      </c>
      <c r="C9" s="278" t="s">
        <v>2141</v>
      </c>
      <c r="D9" s="118" t="s">
        <v>888</v>
      </c>
      <c r="E9" s="118" t="s">
        <v>2141</v>
      </c>
      <c r="F9" s="118" t="s">
        <v>2170</v>
      </c>
      <c r="G9" s="118" t="s">
        <v>1071</v>
      </c>
      <c r="H9" s="118" t="s">
        <v>1558</v>
      </c>
      <c r="J9" s="196" t="s">
        <v>92</v>
      </c>
      <c r="K9" s="197" t="s">
        <v>92</v>
      </c>
    </row>
    <row r="10" spans="1:12" x14ac:dyDescent="0.2">
      <c r="A10" s="194"/>
      <c r="B10" s="195" t="str">
        <f t="shared" si="0"/>
        <v>Temperature</v>
      </c>
      <c r="C10" s="278" t="s">
        <v>2142</v>
      </c>
      <c r="D10" s="118" t="s">
        <v>889</v>
      </c>
      <c r="E10" s="118" t="s">
        <v>2142</v>
      </c>
      <c r="F10" s="118" t="s">
        <v>2171</v>
      </c>
      <c r="G10" s="118" t="s">
        <v>1072</v>
      </c>
      <c r="H10" s="118" t="s">
        <v>889</v>
      </c>
      <c r="J10" s="196" t="s">
        <v>93</v>
      </c>
      <c r="K10" s="197" t="s">
        <v>93</v>
      </c>
    </row>
    <row r="11" spans="1:12" x14ac:dyDescent="0.2">
      <c r="A11" s="194"/>
      <c r="B11" s="195" t="str">
        <f t="shared" si="0"/>
        <v>Specific humidity</v>
      </c>
      <c r="C11" s="278" t="s">
        <v>2143</v>
      </c>
      <c r="D11" s="118" t="s">
        <v>890</v>
      </c>
      <c r="E11" s="118" t="s">
        <v>2143</v>
      </c>
      <c r="F11" s="118" t="s">
        <v>2172</v>
      </c>
      <c r="G11" s="118" t="s">
        <v>1073</v>
      </c>
      <c r="H11" s="118" t="s">
        <v>1559</v>
      </c>
      <c r="J11" s="196" t="s">
        <v>94</v>
      </c>
      <c r="K11" s="197" t="s">
        <v>95</v>
      </c>
    </row>
    <row r="12" spans="1:12" x14ac:dyDescent="0.2">
      <c r="A12" s="194"/>
      <c r="B12" s="195" t="str">
        <f t="shared" si="0"/>
        <v>Difference x2-x1</v>
      </c>
      <c r="C12" s="278" t="s">
        <v>2144</v>
      </c>
      <c r="D12" s="118" t="s">
        <v>891</v>
      </c>
      <c r="E12" s="118" t="s">
        <v>2144</v>
      </c>
      <c r="F12" s="118" t="s">
        <v>2173</v>
      </c>
      <c r="G12" s="118" t="s">
        <v>1074</v>
      </c>
      <c r="H12" s="118" t="s">
        <v>891</v>
      </c>
      <c r="J12" s="196" t="s">
        <v>96</v>
      </c>
      <c r="K12" s="197" t="s">
        <v>96</v>
      </c>
    </row>
    <row r="13" spans="1:12" ht="41.45" customHeight="1" x14ac:dyDescent="0.2">
      <c r="A13" s="194"/>
      <c r="B13" s="195" t="str">
        <f t="shared" si="0"/>
        <v>The following diagram shows the isothermal transformation in red. Blue lines represent curves at a fixed relative humidity, while cyan ones are constant-enthalpy curves.</v>
      </c>
      <c r="C13" s="278" t="s">
        <v>2145</v>
      </c>
      <c r="D13" s="118" t="s">
        <v>928</v>
      </c>
      <c r="E13" s="118" t="s">
        <v>2145</v>
      </c>
      <c r="F13" s="118" t="s">
        <v>2174</v>
      </c>
      <c r="G13" s="118" t="s">
        <v>1075</v>
      </c>
      <c r="H13" s="118" t="s">
        <v>1560</v>
      </c>
      <c r="I13" s="100"/>
      <c r="J13" s="34"/>
      <c r="K13" s="35"/>
      <c r="L13" s="24"/>
    </row>
    <row r="14" spans="1:12" x14ac:dyDescent="0.2">
      <c r="A14" s="194"/>
      <c r="B14" s="195" t="str">
        <f t="shared" si="0"/>
        <v>Duct</v>
      </c>
      <c r="C14" s="278" t="s">
        <v>2146</v>
      </c>
      <c r="D14" s="118" t="s">
        <v>892</v>
      </c>
      <c r="E14" s="118" t="s">
        <v>2146</v>
      </c>
      <c r="F14" s="118" t="s">
        <v>2175</v>
      </c>
      <c r="G14" s="118" t="s">
        <v>1076</v>
      </c>
      <c r="H14" s="118" t="s">
        <v>1561</v>
      </c>
      <c r="K14" s="35"/>
      <c r="L14" s="24"/>
    </row>
    <row r="15" spans="1:12" x14ac:dyDescent="0.2">
      <c r="A15" s="194"/>
      <c r="B15" s="195" t="str">
        <f t="shared" si="0"/>
        <v>Internal width C1</v>
      </c>
      <c r="C15" s="278" t="s">
        <v>2040</v>
      </c>
      <c r="D15" s="118" t="s">
        <v>893</v>
      </c>
      <c r="E15" s="118" t="s">
        <v>2040</v>
      </c>
      <c r="F15" s="118" t="s">
        <v>2176</v>
      </c>
      <c r="G15" s="118" t="s">
        <v>1077</v>
      </c>
      <c r="H15" s="118" t="s">
        <v>1562</v>
      </c>
      <c r="K15" s="36"/>
    </row>
    <row r="16" spans="1:12" x14ac:dyDescent="0.2">
      <c r="A16" s="194"/>
      <c r="B16" s="195" t="str">
        <f t="shared" si="0"/>
        <v>Internal height C2</v>
      </c>
      <c r="C16" s="278" t="s">
        <v>2041</v>
      </c>
      <c r="D16" s="118" t="s">
        <v>894</v>
      </c>
      <c r="E16" s="118" t="s">
        <v>2041</v>
      </c>
      <c r="F16" s="118" t="s">
        <v>2177</v>
      </c>
      <c r="G16" s="118" t="s">
        <v>1078</v>
      </c>
      <c r="H16" s="118" t="s">
        <v>1563</v>
      </c>
      <c r="K16" s="37"/>
    </row>
    <row r="17" spans="1:11" ht="25.5" x14ac:dyDescent="0.2">
      <c r="A17" s="194"/>
      <c r="B17" s="195" t="str">
        <f t="shared" si="0"/>
        <v>Percentage of recirculation air</v>
      </c>
      <c r="C17" s="278" t="s">
        <v>2016</v>
      </c>
      <c r="D17" s="118" t="s">
        <v>2398</v>
      </c>
      <c r="E17" s="118" t="s">
        <v>2016</v>
      </c>
      <c r="F17" s="118" t="s">
        <v>2016</v>
      </c>
      <c r="G17" s="118" t="s">
        <v>2016</v>
      </c>
      <c r="H17" s="118" t="s">
        <v>2397</v>
      </c>
      <c r="K17" s="30"/>
    </row>
    <row r="18" spans="1:11" x14ac:dyDescent="0.2">
      <c r="A18" s="194"/>
      <c r="B18" s="195" t="str">
        <f>CONCATENATE(IF(A18=1," ",""),C18)</f>
        <v>Air flow V</v>
      </c>
      <c r="C18" s="278" t="s">
        <v>2042</v>
      </c>
      <c r="D18" s="118" t="s">
        <v>895</v>
      </c>
      <c r="E18" s="118" t="s">
        <v>2042</v>
      </c>
      <c r="F18" s="118" t="s">
        <v>2178</v>
      </c>
      <c r="G18" s="118" t="s">
        <v>1079</v>
      </c>
      <c r="H18" s="118" t="s">
        <v>1564</v>
      </c>
      <c r="K18" s="30"/>
    </row>
    <row r="19" spans="1:11" x14ac:dyDescent="0.2">
      <c r="A19" s="194"/>
      <c r="B19" s="195" t="str">
        <f t="shared" si="0"/>
        <v>Air flow GA</v>
      </c>
      <c r="C19" s="278" t="s">
        <v>2043</v>
      </c>
      <c r="D19" s="118" t="s">
        <v>896</v>
      </c>
      <c r="E19" s="118" t="s">
        <v>2043</v>
      </c>
      <c r="F19" s="118" t="s">
        <v>2179</v>
      </c>
      <c r="G19" s="118" t="s">
        <v>1080</v>
      </c>
      <c r="H19" s="118" t="s">
        <v>1565</v>
      </c>
    </row>
    <row r="20" spans="1:11" x14ac:dyDescent="0.2">
      <c r="A20" s="194"/>
      <c r="B20" s="195" t="str">
        <f t="shared" si="0"/>
        <v>Air speed</v>
      </c>
      <c r="C20" s="278" t="s">
        <v>2044</v>
      </c>
      <c r="D20" s="118" t="s">
        <v>897</v>
      </c>
      <c r="E20" s="118" t="s">
        <v>2044</v>
      </c>
      <c r="F20" s="118" t="s">
        <v>2180</v>
      </c>
      <c r="G20" s="118" t="s">
        <v>1081</v>
      </c>
      <c r="H20" s="118" t="s">
        <v>1566</v>
      </c>
    </row>
    <row r="21" spans="1:11" ht="25.5" x14ac:dyDescent="0.2">
      <c r="A21" s="194"/>
      <c r="B21" s="195" t="str">
        <f t="shared" si="0"/>
        <v>Total water flow Gw</v>
      </c>
      <c r="C21" s="278" t="s">
        <v>2045</v>
      </c>
      <c r="D21" s="118" t="s">
        <v>898</v>
      </c>
      <c r="E21" s="118" t="s">
        <v>2045</v>
      </c>
      <c r="F21" s="118" t="s">
        <v>2181</v>
      </c>
      <c r="G21" s="118" t="s">
        <v>1082</v>
      </c>
      <c r="H21" s="118" t="s">
        <v>1567</v>
      </c>
    </row>
    <row r="22" spans="1:11" ht="25.5" x14ac:dyDescent="0.2">
      <c r="A22" s="194"/>
      <c r="B22" s="195" t="str">
        <f t="shared" si="0"/>
        <v>Internal width too small</v>
      </c>
      <c r="C22" s="278" t="s">
        <v>2046</v>
      </c>
      <c r="D22" s="118" t="s">
        <v>899</v>
      </c>
      <c r="E22" s="118" t="s">
        <v>2046</v>
      </c>
      <c r="F22" s="118" t="s">
        <v>2182</v>
      </c>
      <c r="G22" s="118" t="s">
        <v>1083</v>
      </c>
      <c r="H22" s="118" t="s">
        <v>1568</v>
      </c>
    </row>
    <row r="23" spans="1:11" ht="25.5" x14ac:dyDescent="0.2">
      <c r="A23" s="194"/>
      <c r="B23" s="195" t="str">
        <f t="shared" si="0"/>
        <v>Internal height too small</v>
      </c>
      <c r="C23" s="278" t="s">
        <v>2047</v>
      </c>
      <c r="D23" s="118" t="s">
        <v>900</v>
      </c>
      <c r="E23" s="118" t="s">
        <v>2047</v>
      </c>
      <c r="F23" s="118" t="s">
        <v>2183</v>
      </c>
      <c r="G23" s="118" t="s">
        <v>1084</v>
      </c>
      <c r="H23" s="118" t="s">
        <v>1569</v>
      </c>
    </row>
    <row r="24" spans="1:11" x14ac:dyDescent="0.2">
      <c r="A24" s="194"/>
      <c r="B24" s="195" t="str">
        <f t="shared" si="0"/>
        <v>Error</v>
      </c>
      <c r="C24" s="278" t="s">
        <v>2048</v>
      </c>
      <c r="D24" s="118" t="s">
        <v>901</v>
      </c>
      <c r="E24" s="118" t="s">
        <v>2048</v>
      </c>
      <c r="F24" s="118" t="s">
        <v>2184</v>
      </c>
      <c r="G24" s="118" t="s">
        <v>1085</v>
      </c>
      <c r="H24" s="118" t="s">
        <v>2048</v>
      </c>
    </row>
    <row r="25" spans="1:11" ht="25.5" x14ac:dyDescent="0.2">
      <c r="A25" s="194"/>
      <c r="B25" s="195" t="str">
        <f t="shared" si="0"/>
        <v>Active probe for ducts</v>
      </c>
      <c r="C25" s="278" t="s">
        <v>2049</v>
      </c>
      <c r="D25" s="118" t="s">
        <v>902</v>
      </c>
      <c r="E25" s="118" t="s">
        <v>2049</v>
      </c>
      <c r="F25" s="118" t="s">
        <v>2185</v>
      </c>
      <c r="G25" s="118" t="s">
        <v>1086</v>
      </c>
      <c r="H25" s="118" t="s">
        <v>1570</v>
      </c>
    </row>
    <row r="26" spans="1:11" x14ac:dyDescent="0.2">
      <c r="A26" s="194"/>
      <c r="B26" s="195" t="str">
        <f t="shared" si="0"/>
        <v>Quantity</v>
      </c>
      <c r="C26" s="278" t="s">
        <v>2050</v>
      </c>
      <c r="D26" s="118" t="s">
        <v>883</v>
      </c>
      <c r="E26" s="118" t="s">
        <v>2050</v>
      </c>
      <c r="F26" s="118" t="s">
        <v>2186</v>
      </c>
      <c r="G26" s="118" t="s">
        <v>1087</v>
      </c>
      <c r="H26" s="118" t="s">
        <v>1571</v>
      </c>
      <c r="I26" s="101"/>
    </row>
    <row r="27" spans="1:11" x14ac:dyDescent="0.2">
      <c r="A27" s="194"/>
      <c r="B27" s="195" t="str">
        <f t="shared" si="0"/>
        <v>Code</v>
      </c>
      <c r="C27" s="278" t="s">
        <v>934</v>
      </c>
      <c r="D27" s="118" t="s">
        <v>861</v>
      </c>
      <c r="E27" s="118" t="s">
        <v>934</v>
      </c>
      <c r="F27" s="118" t="s">
        <v>934</v>
      </c>
      <c r="G27" s="118" t="s">
        <v>934</v>
      </c>
      <c r="H27" s="118" t="s">
        <v>1572</v>
      </c>
      <c r="I27" s="93"/>
    </row>
    <row r="28" spans="1:11" x14ac:dyDescent="0.2">
      <c r="A28" s="194"/>
      <c r="B28" s="195" t="str">
        <f t="shared" si="0"/>
        <v>Description</v>
      </c>
      <c r="C28" s="278" t="s">
        <v>2051</v>
      </c>
      <c r="D28" s="118" t="s">
        <v>884</v>
      </c>
      <c r="E28" s="118" t="s">
        <v>2051</v>
      </c>
      <c r="F28" s="118" t="s">
        <v>2051</v>
      </c>
      <c r="G28" s="118" t="s">
        <v>1088</v>
      </c>
      <c r="H28" s="118" t="s">
        <v>1573</v>
      </c>
      <c r="I28" s="93"/>
    </row>
    <row r="29" spans="1:11" x14ac:dyDescent="0.2">
      <c r="A29" s="194"/>
      <c r="B29" s="195" t="str">
        <f t="shared" si="0"/>
        <v>List price</v>
      </c>
      <c r="C29" s="278" t="s">
        <v>2914</v>
      </c>
      <c r="D29" s="118" t="s">
        <v>2913</v>
      </c>
      <c r="E29" s="118" t="s">
        <v>2914</v>
      </c>
      <c r="F29" s="118" t="s">
        <v>2917</v>
      </c>
      <c r="G29" s="118" t="s">
        <v>2916</v>
      </c>
      <c r="H29" s="118" t="s">
        <v>2915</v>
      </c>
      <c r="I29" s="101"/>
    </row>
    <row r="30" spans="1:11" x14ac:dyDescent="0.2">
      <c r="A30" s="194"/>
      <c r="B30" s="195" t="str">
        <f t="shared" si="0"/>
        <v>TOTAL</v>
      </c>
      <c r="C30" s="278" t="s">
        <v>2052</v>
      </c>
      <c r="D30" s="118" t="s">
        <v>903</v>
      </c>
      <c r="E30" s="118" t="s">
        <v>2052</v>
      </c>
      <c r="F30" s="118" t="s">
        <v>2052</v>
      </c>
      <c r="G30" s="118" t="s">
        <v>1089</v>
      </c>
      <c r="H30" s="118" t="s">
        <v>2052</v>
      </c>
      <c r="I30" s="101"/>
    </row>
    <row r="31" spans="1:11" ht="25.5" x14ac:dyDescent="0.2">
      <c r="A31" s="194"/>
      <c r="B31" s="195" t="str">
        <f t="shared" si="0"/>
        <v>Do you want it? (Yes or No)?</v>
      </c>
      <c r="C31" s="278" t="s">
        <v>2053</v>
      </c>
      <c r="D31" s="118" t="s">
        <v>2125</v>
      </c>
      <c r="E31" s="118" t="s">
        <v>2053</v>
      </c>
      <c r="F31" s="118" t="s">
        <v>2187</v>
      </c>
      <c r="G31" s="118" t="s">
        <v>1090</v>
      </c>
      <c r="H31" s="118" t="s">
        <v>1574</v>
      </c>
    </row>
    <row r="32" spans="1:11" x14ac:dyDescent="0.2">
      <c r="A32" s="194">
        <v>1</v>
      </c>
      <c r="B32" s="195" t="str">
        <f t="shared" si="0"/>
        <v xml:space="preserve"> Yes/No?</v>
      </c>
      <c r="C32" s="278" t="s">
        <v>2054</v>
      </c>
      <c r="D32" s="118" t="s">
        <v>904</v>
      </c>
      <c r="E32" s="118" t="s">
        <v>2054</v>
      </c>
      <c r="F32" s="118" t="s">
        <v>2188</v>
      </c>
      <c r="G32" s="118" t="s">
        <v>1091</v>
      </c>
      <c r="H32" s="118" t="s">
        <v>1575</v>
      </c>
    </row>
    <row r="33" spans="1:12" x14ac:dyDescent="0.2">
      <c r="A33" s="194"/>
      <c r="B33" s="195" t="str">
        <f t="shared" si="0"/>
        <v>Total list price</v>
      </c>
      <c r="C33" s="278" t="s">
        <v>2055</v>
      </c>
      <c r="D33" s="118" t="s">
        <v>905</v>
      </c>
      <c r="E33" s="118" t="s">
        <v>2055</v>
      </c>
      <c r="F33" s="118" t="s">
        <v>2189</v>
      </c>
      <c r="G33" s="118" t="s">
        <v>1092</v>
      </c>
      <c r="H33" s="118" t="s">
        <v>1576</v>
      </c>
    </row>
    <row r="34" spans="1:12" x14ac:dyDescent="0.2">
      <c r="A34" s="194"/>
      <c r="B34" s="195" t="str">
        <f t="shared" si="0"/>
        <v>Yes</v>
      </c>
      <c r="C34" s="278" t="s">
        <v>2056</v>
      </c>
      <c r="D34" s="118" t="s">
        <v>906</v>
      </c>
      <c r="E34" s="118" t="s">
        <v>2056</v>
      </c>
      <c r="F34" s="118" t="s">
        <v>2190</v>
      </c>
      <c r="G34" s="118" t="s">
        <v>1093</v>
      </c>
      <c r="H34" s="118" t="s">
        <v>906</v>
      </c>
      <c r="K34" s="22"/>
      <c r="L34" s="22"/>
    </row>
    <row r="35" spans="1:12" x14ac:dyDescent="0.2">
      <c r="A35" s="194"/>
      <c r="B35" s="195" t="str">
        <f t="shared" si="0"/>
        <v>No</v>
      </c>
      <c r="C35" s="278" t="s">
        <v>907</v>
      </c>
      <c r="D35" s="118" t="s">
        <v>907</v>
      </c>
      <c r="E35" s="118" t="s">
        <v>907</v>
      </c>
      <c r="F35" s="118" t="s">
        <v>2191</v>
      </c>
      <c r="G35" s="118" t="s">
        <v>1094</v>
      </c>
      <c r="H35" s="118" t="s">
        <v>907</v>
      </c>
      <c r="K35" s="22"/>
      <c r="L35" s="22"/>
    </row>
    <row r="36" spans="1:12" x14ac:dyDescent="0.2">
      <c r="A36" s="194"/>
      <c r="B36" s="195" t="str">
        <f t="shared" si="0"/>
        <v>Discount</v>
      </c>
      <c r="C36" s="278" t="s">
        <v>2057</v>
      </c>
      <c r="D36" s="118" t="s">
        <v>908</v>
      </c>
      <c r="E36" s="118" t="s">
        <v>2057</v>
      </c>
      <c r="F36" s="118" t="s">
        <v>2192</v>
      </c>
      <c r="G36" s="118" t="s">
        <v>1095</v>
      </c>
      <c r="H36" s="118" t="s">
        <v>1577</v>
      </c>
      <c r="J36" s="26"/>
      <c r="K36" s="22"/>
      <c r="L36" s="22"/>
    </row>
    <row r="37" spans="1:12" ht="51" x14ac:dyDescent="0.2">
      <c r="A37" s="194"/>
      <c r="B37" s="195" t="str">
        <f t="shared" si="0"/>
        <v>Temperature probe (0-50 °C) and humidity (10-90% rH)</v>
      </c>
      <c r="C37" s="278" t="s">
        <v>2058</v>
      </c>
      <c r="D37" s="118" t="s">
        <v>909</v>
      </c>
      <c r="E37" s="118" t="s">
        <v>2058</v>
      </c>
      <c r="F37" s="118" t="s">
        <v>2193</v>
      </c>
      <c r="G37" s="118" t="s">
        <v>1096</v>
      </c>
      <c r="H37" s="118" t="s">
        <v>1578</v>
      </c>
      <c r="K37" s="22"/>
      <c r="L37" s="22"/>
    </row>
    <row r="38" spans="1:12" ht="51" x14ac:dyDescent="0.2">
      <c r="A38" s="194"/>
      <c r="B38" s="195" t="str">
        <f t="shared" si="0"/>
        <v>Temperature probe (-10-70 °C) and humidity (0-100% rH)</v>
      </c>
      <c r="C38" s="278" t="s">
        <v>2059</v>
      </c>
      <c r="D38" s="118" t="s">
        <v>910</v>
      </c>
      <c r="E38" s="118" t="s">
        <v>2059</v>
      </c>
      <c r="F38" s="118" t="s">
        <v>2194</v>
      </c>
      <c r="G38" s="118" t="s">
        <v>1097</v>
      </c>
      <c r="H38" s="118" t="s">
        <v>1579</v>
      </c>
      <c r="K38" s="22"/>
      <c r="L38" s="22"/>
    </row>
    <row r="39" spans="1:12" ht="25.5" x14ac:dyDescent="0.2">
      <c r="A39" s="194"/>
      <c r="B39" s="195" t="str">
        <f t="shared" si="0"/>
        <v>Humidity probe 10-90% rH</v>
      </c>
      <c r="C39" s="278" t="s">
        <v>2060</v>
      </c>
      <c r="D39" s="118" t="s">
        <v>911</v>
      </c>
      <c r="E39" s="118" t="s">
        <v>2060</v>
      </c>
      <c r="F39" s="118" t="s">
        <v>2195</v>
      </c>
      <c r="G39" s="118" t="s">
        <v>1098</v>
      </c>
      <c r="H39" s="118" t="s">
        <v>1580</v>
      </c>
    </row>
    <row r="40" spans="1:12" ht="25.5" x14ac:dyDescent="0.2">
      <c r="A40" s="197"/>
      <c r="B40" s="195" t="str">
        <f t="shared" si="0"/>
        <v>Humidity probe 0-100% rH</v>
      </c>
      <c r="C40" s="278" t="s">
        <v>2061</v>
      </c>
      <c r="D40" s="118" t="s">
        <v>912</v>
      </c>
      <c r="E40" s="118" t="s">
        <v>2061</v>
      </c>
      <c r="F40" s="118" t="s">
        <v>2196</v>
      </c>
      <c r="G40" s="118" t="s">
        <v>1099</v>
      </c>
      <c r="H40" s="118" t="s">
        <v>1581</v>
      </c>
    </row>
    <row r="41" spans="1:12" x14ac:dyDescent="0.2">
      <c r="A41" s="197"/>
      <c r="B41" s="195" t="str">
        <f t="shared" si="0"/>
        <v>Position</v>
      </c>
      <c r="C41" s="279" t="s">
        <v>2062</v>
      </c>
      <c r="D41" s="119" t="s">
        <v>2127</v>
      </c>
      <c r="E41" s="119" t="s">
        <v>2062</v>
      </c>
      <c r="F41" s="118" t="s">
        <v>2062</v>
      </c>
      <c r="G41" s="118" t="s">
        <v>2062</v>
      </c>
      <c r="H41" s="119" t="s">
        <v>1582</v>
      </c>
      <c r="I41" s="102"/>
    </row>
    <row r="42" spans="1:12" x14ac:dyDescent="0.2">
      <c r="A42" s="194"/>
      <c r="B42" s="195" t="str">
        <f t="shared" si="0"/>
        <v>Code</v>
      </c>
      <c r="C42" s="278" t="s">
        <v>934</v>
      </c>
      <c r="D42" s="118" t="s">
        <v>2129</v>
      </c>
      <c r="E42" s="118" t="s">
        <v>934</v>
      </c>
      <c r="F42" s="118" t="s">
        <v>934</v>
      </c>
      <c r="G42" s="118" t="s">
        <v>934</v>
      </c>
      <c r="H42" s="118" t="s">
        <v>1583</v>
      </c>
      <c r="I42" s="100"/>
    </row>
    <row r="43" spans="1:12" x14ac:dyDescent="0.2">
      <c r="A43" s="194"/>
      <c r="B43" s="195" t="str">
        <f t="shared" si="0"/>
        <v>Price</v>
      </c>
      <c r="C43" s="278" t="s">
        <v>2063</v>
      </c>
      <c r="D43" s="118" t="s">
        <v>2128</v>
      </c>
      <c r="E43" s="118" t="s">
        <v>2063</v>
      </c>
      <c r="F43" s="118" t="s">
        <v>2197</v>
      </c>
      <c r="G43" s="118" t="s">
        <v>1100</v>
      </c>
      <c r="H43" s="118" t="s">
        <v>1584</v>
      </c>
      <c r="I43" s="100"/>
    </row>
    <row r="44" spans="1:12" x14ac:dyDescent="0.2">
      <c r="A44" s="194"/>
      <c r="B44" s="195" t="str">
        <f t="shared" si="0"/>
        <v>Humidifier</v>
      </c>
      <c r="C44" s="278" t="s">
        <v>2064</v>
      </c>
      <c r="D44" s="118" t="s">
        <v>859</v>
      </c>
      <c r="E44" s="118" t="s">
        <v>2064</v>
      </c>
      <c r="F44" s="118" t="s">
        <v>2198</v>
      </c>
      <c r="G44" s="118" t="s">
        <v>1101</v>
      </c>
      <c r="H44" s="118" t="s">
        <v>1585</v>
      </c>
      <c r="I44" s="100"/>
    </row>
    <row r="45" spans="1:12" x14ac:dyDescent="0.2">
      <c r="A45" s="194"/>
      <c r="B45" s="195" t="str">
        <f t="shared" si="0"/>
        <v>Steam distributor</v>
      </c>
      <c r="C45" s="278" t="s">
        <v>2065</v>
      </c>
      <c r="D45" s="118" t="s">
        <v>2124</v>
      </c>
      <c r="E45" s="118" t="s">
        <v>2065</v>
      </c>
      <c r="F45" s="118" t="s">
        <v>2199</v>
      </c>
      <c r="G45" s="118" t="s">
        <v>1102</v>
      </c>
      <c r="H45" s="118" t="s">
        <v>1586</v>
      </c>
      <c r="I45" s="100"/>
    </row>
    <row r="46" spans="1:12" x14ac:dyDescent="0.2">
      <c r="A46" s="194"/>
      <c r="B46" s="195" t="str">
        <f t="shared" si="0"/>
        <v>Steam hose</v>
      </c>
      <c r="C46" s="278" t="s">
        <v>2066</v>
      </c>
      <c r="D46" s="118" t="s">
        <v>2126</v>
      </c>
      <c r="E46" s="118" t="s">
        <v>2066</v>
      </c>
      <c r="F46" s="118" t="s">
        <v>2200</v>
      </c>
      <c r="G46" s="118" t="s">
        <v>1103</v>
      </c>
      <c r="H46" s="118" t="s">
        <v>1587</v>
      </c>
      <c r="I46" s="100"/>
    </row>
    <row r="47" spans="1:12" x14ac:dyDescent="0.2">
      <c r="A47" s="194"/>
      <c r="B47" s="195" t="str">
        <f t="shared" si="0"/>
        <v>Drain hose</v>
      </c>
      <c r="C47" s="278" t="s">
        <v>2067</v>
      </c>
      <c r="D47" s="118" t="s">
        <v>2340</v>
      </c>
      <c r="E47" s="118" t="s">
        <v>2067</v>
      </c>
      <c r="F47" s="118" t="s">
        <v>2201</v>
      </c>
      <c r="G47" s="118" t="s">
        <v>1104</v>
      </c>
      <c r="H47" s="118" t="s">
        <v>1588</v>
      </c>
      <c r="I47" s="100"/>
    </row>
    <row r="48" spans="1:12" ht="25.5" x14ac:dyDescent="0.2">
      <c r="A48" s="194"/>
      <c r="B48" s="195" t="str">
        <f t="shared" si="0"/>
        <v>Possible solutions</v>
      </c>
      <c r="C48" s="278" t="s">
        <v>2068</v>
      </c>
      <c r="D48" s="118" t="s">
        <v>2332</v>
      </c>
      <c r="E48" s="118" t="s">
        <v>2068</v>
      </c>
      <c r="F48" s="118" t="s">
        <v>2202</v>
      </c>
      <c r="G48" s="118" t="s">
        <v>1105</v>
      </c>
      <c r="H48" s="118" t="s">
        <v>1589</v>
      </c>
      <c r="I48" s="100"/>
    </row>
    <row r="49" spans="1:9" x14ac:dyDescent="0.2">
      <c r="A49" s="194"/>
      <c r="B49" s="195" t="str">
        <f t="shared" si="0"/>
        <v>Humidifier code</v>
      </c>
      <c r="C49" s="278" t="s">
        <v>2069</v>
      </c>
      <c r="D49" s="118" t="s">
        <v>2130</v>
      </c>
      <c r="E49" s="118" t="s">
        <v>2069</v>
      </c>
      <c r="F49" s="118" t="s">
        <v>2203</v>
      </c>
      <c r="G49" s="118" t="s">
        <v>1106</v>
      </c>
      <c r="H49" s="118" t="s">
        <v>1590</v>
      </c>
      <c r="I49" s="100"/>
    </row>
    <row r="50" spans="1:9" ht="25.5" x14ac:dyDescent="0.2">
      <c r="A50" s="194"/>
      <c r="B50" s="195" t="str">
        <f t="shared" si="0"/>
        <v>Choice of the humidifier</v>
      </c>
      <c r="C50" s="278" t="s">
        <v>2070</v>
      </c>
      <c r="D50" s="118" t="s">
        <v>2333</v>
      </c>
      <c r="E50" s="118" t="s">
        <v>2070</v>
      </c>
      <c r="F50" s="118" t="s">
        <v>2204</v>
      </c>
      <c r="G50" s="118" t="s">
        <v>1107</v>
      </c>
      <c r="H50" s="118" t="s">
        <v>1591</v>
      </c>
      <c r="I50" s="100"/>
    </row>
    <row r="51" spans="1:9" ht="25.5" x14ac:dyDescent="0.2">
      <c r="A51" s="194"/>
      <c r="B51" s="195" t="str">
        <f t="shared" si="0"/>
        <v>Y connection for steam hose</v>
      </c>
      <c r="C51" s="280" t="s">
        <v>2071</v>
      </c>
      <c r="D51" s="120" t="s">
        <v>845</v>
      </c>
      <c r="E51" s="120" t="s">
        <v>2071</v>
      </c>
      <c r="F51" s="118" t="s">
        <v>2205</v>
      </c>
      <c r="G51" s="118" t="s">
        <v>1108</v>
      </c>
      <c r="H51" s="120" t="s">
        <v>1592</v>
      </c>
      <c r="I51" s="103"/>
    </row>
    <row r="52" spans="1:9" ht="25.5" x14ac:dyDescent="0.2">
      <c r="A52" s="194"/>
      <c r="B52" s="195" t="str">
        <f t="shared" si="0"/>
        <v>Number of humidifiers</v>
      </c>
      <c r="C52" s="278" t="s">
        <v>3515</v>
      </c>
      <c r="D52" s="118" t="s">
        <v>3516</v>
      </c>
      <c r="E52" s="118" t="s">
        <v>3515</v>
      </c>
      <c r="F52" s="118" t="s">
        <v>3512</v>
      </c>
      <c r="G52" s="118" t="s">
        <v>3513</v>
      </c>
      <c r="H52" s="118" t="s">
        <v>3514</v>
      </c>
    </row>
    <row r="53" spans="1:9" x14ac:dyDescent="0.2">
      <c r="A53" s="194"/>
      <c r="B53" s="195" t="str">
        <f t="shared" si="0"/>
        <v>STEP 1</v>
      </c>
      <c r="C53" s="278" t="s">
        <v>1540</v>
      </c>
      <c r="D53" s="118" t="s">
        <v>1540</v>
      </c>
      <c r="E53" s="118" t="s">
        <v>1540</v>
      </c>
      <c r="F53" s="118" t="s">
        <v>1540</v>
      </c>
      <c r="G53" s="118" t="s">
        <v>1109</v>
      </c>
      <c r="H53" s="118" t="s">
        <v>1593</v>
      </c>
    </row>
    <row r="54" spans="1:9" x14ac:dyDescent="0.2">
      <c r="A54" s="194"/>
      <c r="B54" s="195" t="str">
        <f>CONCATENATE(IF(A54=1," ",""),C54)</f>
        <v>STEP 2</v>
      </c>
      <c r="C54" s="278" t="s">
        <v>1541</v>
      </c>
      <c r="D54" s="118" t="s">
        <v>1541</v>
      </c>
      <c r="E54" s="118" t="s">
        <v>1541</v>
      </c>
      <c r="F54" s="118" t="s">
        <v>1541</v>
      </c>
      <c r="G54" s="118" t="s">
        <v>1110</v>
      </c>
      <c r="H54" s="118" t="s">
        <v>1594</v>
      </c>
    </row>
    <row r="55" spans="1:9" x14ac:dyDescent="0.2">
      <c r="A55" s="194"/>
      <c r="B55" s="195" t="str">
        <f>CONCATENATE(IF(A55=1," ",""),C55)</f>
        <v>STEP 3</v>
      </c>
      <c r="C55" s="278" t="s">
        <v>1542</v>
      </c>
      <c r="D55" s="118" t="s">
        <v>1542</v>
      </c>
      <c r="E55" s="118" t="s">
        <v>1542</v>
      </c>
      <c r="F55" s="118" t="s">
        <v>1542</v>
      </c>
      <c r="G55" s="118" t="s">
        <v>1111</v>
      </c>
      <c r="H55" s="118" t="s">
        <v>1595</v>
      </c>
    </row>
    <row r="56" spans="1:9" ht="25.5" x14ac:dyDescent="0.2">
      <c r="A56" s="194"/>
      <c r="B56" s="195" t="str">
        <f>CONCATENATE(IF(A56=1," ",""),C56)</f>
        <v>Go to the "Selection" sheet</v>
      </c>
      <c r="C56" s="278" t="s">
        <v>1544</v>
      </c>
      <c r="D56" s="118" t="s">
        <v>1543</v>
      </c>
      <c r="E56" s="118" t="s">
        <v>1544</v>
      </c>
      <c r="F56" s="118" t="s">
        <v>2206</v>
      </c>
      <c r="G56" s="118" t="s">
        <v>2266</v>
      </c>
      <c r="H56" s="118" t="s">
        <v>1596</v>
      </c>
    </row>
    <row r="57" spans="1:9" ht="25.5" x14ac:dyDescent="0.2">
      <c r="A57" s="194"/>
      <c r="B57" s="195" t="str">
        <f t="shared" ref="B57:B75" si="1">CONCATENATE(IF(A57=1," ",""),C57)</f>
        <v>No. of distributors in the duct</v>
      </c>
      <c r="C57" s="278" t="s">
        <v>1169</v>
      </c>
      <c r="D57" s="118" t="s">
        <v>184</v>
      </c>
      <c r="E57" s="118" t="s">
        <v>1169</v>
      </c>
      <c r="F57" s="118" t="s">
        <v>2207</v>
      </c>
      <c r="G57" s="118" t="s">
        <v>1112</v>
      </c>
      <c r="H57" s="118" t="s">
        <v>1597</v>
      </c>
    </row>
    <row r="58" spans="1:9" ht="25.5" x14ac:dyDescent="0.2">
      <c r="A58" s="194"/>
      <c r="B58" s="195" t="str">
        <f t="shared" si="1"/>
        <v>Humidifier capacity (kg/h)</v>
      </c>
      <c r="C58" s="278" t="s">
        <v>578</v>
      </c>
      <c r="D58" s="118" t="s">
        <v>185</v>
      </c>
      <c r="E58" s="118" t="s">
        <v>578</v>
      </c>
      <c r="F58" s="118" t="s">
        <v>2458</v>
      </c>
      <c r="G58" s="118" t="s">
        <v>1113</v>
      </c>
      <c r="H58" s="118" t="s">
        <v>1598</v>
      </c>
    </row>
    <row r="59" spans="1:9" ht="25.5" x14ac:dyDescent="0.2">
      <c r="A59" s="194"/>
      <c r="B59" s="195" t="str">
        <f t="shared" si="1"/>
        <v>Max kg/h per distributor</v>
      </c>
      <c r="C59" s="278" t="s">
        <v>183</v>
      </c>
      <c r="D59" s="118" t="s">
        <v>187</v>
      </c>
      <c r="E59" s="118" t="s">
        <v>183</v>
      </c>
      <c r="F59" s="118" t="s">
        <v>2459</v>
      </c>
      <c r="G59" s="118" t="s">
        <v>1114</v>
      </c>
      <c r="H59" s="118" t="s">
        <v>1599</v>
      </c>
    </row>
    <row r="60" spans="1:9" ht="25.5" x14ac:dyDescent="0.2">
      <c r="A60" s="194"/>
      <c r="B60" s="195" t="str">
        <f t="shared" si="1"/>
        <v>Distributor length (mm)</v>
      </c>
      <c r="C60" s="278" t="s">
        <v>579</v>
      </c>
      <c r="D60" s="118" t="s">
        <v>186</v>
      </c>
      <c r="E60" s="118" t="s">
        <v>579</v>
      </c>
      <c r="F60" s="118" t="s">
        <v>2460</v>
      </c>
      <c r="G60" s="118" t="s">
        <v>1115</v>
      </c>
      <c r="H60" s="118" t="s">
        <v>1600</v>
      </c>
    </row>
    <row r="61" spans="1:9" ht="25.5" x14ac:dyDescent="0.2">
      <c r="A61" s="194"/>
      <c r="B61" s="195" t="str">
        <f t="shared" si="1"/>
        <v>Humidification distance (m)</v>
      </c>
      <c r="C61" s="278" t="s">
        <v>580</v>
      </c>
      <c r="D61" s="118" t="s">
        <v>188</v>
      </c>
      <c r="E61" s="118" t="s">
        <v>580</v>
      </c>
      <c r="F61" s="118" t="s">
        <v>2461</v>
      </c>
      <c r="G61" s="118" t="s">
        <v>1116</v>
      </c>
      <c r="H61" s="118" t="s">
        <v>1601</v>
      </c>
    </row>
    <row r="62" spans="1:9" ht="14.45" customHeight="1" x14ac:dyDescent="0.2">
      <c r="A62" s="194"/>
      <c r="B62" s="195" t="str">
        <f t="shared" si="1"/>
        <v xml:space="preserve">The humidification distance is calculated using the work of Gundacker </v>
      </c>
      <c r="C62" s="278" t="s">
        <v>182</v>
      </c>
      <c r="D62" s="118" t="s">
        <v>577</v>
      </c>
      <c r="E62" s="118" t="s">
        <v>182</v>
      </c>
      <c r="F62" s="118" t="s">
        <v>2462</v>
      </c>
      <c r="G62" s="118" t="s">
        <v>1117</v>
      </c>
      <c r="H62" s="118" t="s">
        <v>1602</v>
      </c>
    </row>
    <row r="63" spans="1:9" ht="14.45" customHeight="1" x14ac:dyDescent="0.2">
      <c r="A63" s="194"/>
      <c r="B63" s="195" t="str">
        <f t="shared" si="1"/>
        <v>distributor lenght is bigger than duct width</v>
      </c>
      <c r="C63" s="278" t="s">
        <v>581</v>
      </c>
      <c r="D63" s="118" t="s">
        <v>581</v>
      </c>
      <c r="E63" s="118" t="s">
        <v>581</v>
      </c>
      <c r="F63" s="118" t="s">
        <v>102</v>
      </c>
      <c r="G63" s="118" t="s">
        <v>1118</v>
      </c>
      <c r="H63" s="118" t="s">
        <v>1603</v>
      </c>
    </row>
    <row r="64" spans="1:9" ht="22.15" customHeight="1" x14ac:dyDescent="0.2">
      <c r="A64" s="194"/>
      <c r="B64" s="195" t="str">
        <f t="shared" si="1"/>
        <v>humidification load is bigger than maximum steam distributor capacity</v>
      </c>
      <c r="C64" s="278" t="s">
        <v>582</v>
      </c>
      <c r="D64" s="118" t="s">
        <v>582</v>
      </c>
      <c r="E64" s="118" t="s">
        <v>582</v>
      </c>
      <c r="F64" s="118" t="s">
        <v>103</v>
      </c>
      <c r="G64" s="118" t="s">
        <v>1119</v>
      </c>
      <c r="H64" s="118" t="s">
        <v>1604</v>
      </c>
    </row>
    <row r="65" spans="1:8" ht="38.25" x14ac:dyDescent="0.2">
      <c r="A65" s="194"/>
      <c r="B65" s="195" t="str">
        <f t="shared" si="1"/>
        <v>Voltage not available for the model chosen</v>
      </c>
      <c r="C65" s="278" t="s">
        <v>618</v>
      </c>
      <c r="D65" s="118" t="s">
        <v>627</v>
      </c>
      <c r="E65" s="118" t="s">
        <v>618</v>
      </c>
      <c r="F65" s="118" t="s">
        <v>1067</v>
      </c>
      <c r="G65" s="118" t="s">
        <v>1483</v>
      </c>
      <c r="H65" s="118" t="s">
        <v>1605</v>
      </c>
    </row>
    <row r="66" spans="1:8" ht="38.25" x14ac:dyDescent="0.2">
      <c r="A66" s="194"/>
      <c r="B66" s="195" t="str">
        <f t="shared" si="1"/>
        <v>Option not correct for the model chosen</v>
      </c>
      <c r="C66" s="278" t="s">
        <v>2275</v>
      </c>
      <c r="D66" s="118" t="s">
        <v>626</v>
      </c>
      <c r="E66" s="118" t="s">
        <v>2275</v>
      </c>
      <c r="F66" s="118" t="s">
        <v>2277</v>
      </c>
      <c r="G66" s="118" t="s">
        <v>2276</v>
      </c>
      <c r="H66" s="118" t="s">
        <v>1606</v>
      </c>
    </row>
    <row r="67" spans="1:8" ht="38.25" x14ac:dyDescent="0.2">
      <c r="A67" s="194"/>
      <c r="B67" s="195" t="str">
        <f t="shared" si="1"/>
        <v>Disposable cylinder (humiSteam only)</v>
      </c>
      <c r="C67" s="278" t="s">
        <v>225</v>
      </c>
      <c r="D67" s="118" t="s">
        <v>624</v>
      </c>
      <c r="E67" s="118" t="s">
        <v>225</v>
      </c>
      <c r="F67" s="118" t="s">
        <v>2271</v>
      </c>
      <c r="G67" s="118" t="s">
        <v>2269</v>
      </c>
      <c r="H67" s="118" t="s">
        <v>1607</v>
      </c>
    </row>
    <row r="68" spans="1:8" ht="38.25" x14ac:dyDescent="0.2">
      <c r="A68" s="194"/>
      <c r="B68" s="195" t="str">
        <f t="shared" si="1"/>
        <v>Cleanable cylinder (humiSteam only)</v>
      </c>
      <c r="C68" s="278" t="s">
        <v>226</v>
      </c>
      <c r="D68" s="118" t="s">
        <v>623</v>
      </c>
      <c r="E68" s="118" t="s">
        <v>226</v>
      </c>
      <c r="F68" s="118" t="s">
        <v>2272</v>
      </c>
      <c r="G68" s="118" t="s">
        <v>2270</v>
      </c>
      <c r="H68" s="118" t="s">
        <v>1608</v>
      </c>
    </row>
    <row r="69" spans="1:8" ht="25.5" x14ac:dyDescent="0.2">
      <c r="A69" s="194"/>
      <c r="B69" s="195" t="str">
        <f t="shared" si="1"/>
        <v>heaterSteam process</v>
      </c>
      <c r="C69" s="278" t="s">
        <v>3511</v>
      </c>
      <c r="D69" s="118" t="s">
        <v>3511</v>
      </c>
      <c r="E69" s="118" t="s">
        <v>3511</v>
      </c>
      <c r="F69" s="118" t="s">
        <v>3511</v>
      </c>
      <c r="G69" s="118" t="s">
        <v>3511</v>
      </c>
      <c r="H69" s="118" t="s">
        <v>3511</v>
      </c>
    </row>
    <row r="70" spans="1:8" ht="25.5" x14ac:dyDescent="0.2">
      <c r="A70" s="194"/>
      <c r="B70" s="195" t="str">
        <f t="shared" si="1"/>
        <v>heaterSteam Titanium</v>
      </c>
      <c r="C70" s="278" t="s">
        <v>3236</v>
      </c>
      <c r="D70" s="118" t="s">
        <v>3236</v>
      </c>
      <c r="E70" s="118" t="s">
        <v>3236</v>
      </c>
      <c r="F70" s="118" t="s">
        <v>3236</v>
      </c>
      <c r="G70" s="118" t="s">
        <v>3236</v>
      </c>
      <c r="H70" s="118" t="s">
        <v>3236</v>
      </c>
    </row>
    <row r="71" spans="1:8" ht="25.5" x14ac:dyDescent="0.2">
      <c r="A71" s="194"/>
      <c r="B71" s="195" t="str">
        <f t="shared" si="1"/>
        <v>Pump 50 hz (gaSteam only)</v>
      </c>
      <c r="C71" s="278" t="s">
        <v>2723</v>
      </c>
      <c r="D71" s="118" t="s">
        <v>2724</v>
      </c>
      <c r="E71" s="118" t="s">
        <v>2723</v>
      </c>
      <c r="F71" s="118" t="s">
        <v>2723</v>
      </c>
      <c r="G71" s="118" t="s">
        <v>2723</v>
      </c>
      <c r="H71" s="118" t="s">
        <v>2723</v>
      </c>
    </row>
    <row r="72" spans="1:8" ht="38.25" x14ac:dyDescent="0.2">
      <c r="A72" s="194"/>
      <c r="B72" s="195" t="str">
        <f t="shared" si="1"/>
        <v>Pump 60 Hz (USA Market) (gaSteam only)</v>
      </c>
      <c r="C72" s="278" t="s">
        <v>2722</v>
      </c>
      <c r="D72" s="118" t="s">
        <v>2721</v>
      </c>
      <c r="E72" s="118" t="s">
        <v>2722</v>
      </c>
      <c r="F72" s="118" t="s">
        <v>2722</v>
      </c>
      <c r="G72" s="118" t="s">
        <v>2722</v>
      </c>
      <c r="H72" s="118" t="s">
        <v>2722</v>
      </c>
    </row>
    <row r="73" spans="1:8" ht="25.5" x14ac:dyDescent="0.2">
      <c r="A73" s="194"/>
      <c r="B73" s="195" t="str">
        <f t="shared" si="1"/>
        <v>Voltage specification</v>
      </c>
      <c r="C73" s="278" t="s">
        <v>2267</v>
      </c>
      <c r="D73" s="118" t="s">
        <v>600</v>
      </c>
      <c r="E73" s="118" t="s">
        <v>2267</v>
      </c>
      <c r="F73" s="118" t="s">
        <v>2278</v>
      </c>
      <c r="G73" s="118" t="s">
        <v>2273</v>
      </c>
      <c r="H73" s="118" t="s">
        <v>1609</v>
      </c>
    </row>
    <row r="74" spans="1:8" ht="25.5" x14ac:dyDescent="0.2">
      <c r="A74" s="194"/>
      <c r="B74" s="195" t="str">
        <f t="shared" si="1"/>
        <v>Options specification</v>
      </c>
      <c r="C74" s="278" t="s">
        <v>2268</v>
      </c>
      <c r="D74" s="118" t="s">
        <v>620</v>
      </c>
      <c r="E74" s="118" t="s">
        <v>2268</v>
      </c>
      <c r="F74" s="118" t="s">
        <v>2279</v>
      </c>
      <c r="G74" s="118" t="s">
        <v>2274</v>
      </c>
      <c r="H74" s="118" t="s">
        <v>1610</v>
      </c>
    </row>
    <row r="75" spans="1:8" ht="51" x14ac:dyDescent="0.2">
      <c r="A75" s="194"/>
      <c r="B75" s="195" t="str">
        <f t="shared" si="1"/>
        <v>capacity of humidifier is less than the requested load</v>
      </c>
      <c r="C75" s="278" t="s">
        <v>3172</v>
      </c>
      <c r="D75" s="118" t="s">
        <v>3172</v>
      </c>
      <c r="E75" s="118" t="s">
        <v>3172</v>
      </c>
      <c r="F75" s="118" t="s">
        <v>3172</v>
      </c>
      <c r="G75" s="118" t="s">
        <v>3172</v>
      </c>
      <c r="H75" s="118" t="s">
        <v>3172</v>
      </c>
    </row>
    <row r="76" spans="1:8" x14ac:dyDescent="0.2">
      <c r="A76" s="194"/>
      <c r="B76" s="198" t="s">
        <v>861</v>
      </c>
      <c r="C76" s="281" t="s">
        <v>1537</v>
      </c>
      <c r="D76" s="121" t="s">
        <v>1538</v>
      </c>
      <c r="E76" s="121" t="s">
        <v>1537</v>
      </c>
      <c r="F76" s="121" t="s">
        <v>104</v>
      </c>
      <c r="G76" s="121" t="s">
        <v>1500</v>
      </c>
      <c r="H76" s="121" t="s">
        <v>1611</v>
      </c>
    </row>
    <row r="77" spans="1:8" x14ac:dyDescent="0.2">
      <c r="A77" s="194"/>
      <c r="B77" s="199" t="s">
        <v>245</v>
      </c>
      <c r="C77" s="282" t="s">
        <v>2632</v>
      </c>
      <c r="D77" s="122" t="s">
        <v>2089</v>
      </c>
      <c r="E77" s="122" t="s">
        <v>2632</v>
      </c>
      <c r="F77" s="118" t="s">
        <v>105</v>
      </c>
      <c r="G77" s="118" t="s">
        <v>1501</v>
      </c>
      <c r="H77" s="122" t="s">
        <v>1612</v>
      </c>
    </row>
    <row r="78" spans="1:8" x14ac:dyDescent="0.2">
      <c r="A78" s="194"/>
      <c r="B78" s="199" t="s">
        <v>246</v>
      </c>
      <c r="C78" s="282" t="s">
        <v>1755</v>
      </c>
      <c r="D78" s="122" t="s">
        <v>1276</v>
      </c>
      <c r="E78" s="122" t="s">
        <v>1755</v>
      </c>
      <c r="F78" s="118" t="s">
        <v>106</v>
      </c>
      <c r="G78" s="118" t="s">
        <v>1502</v>
      </c>
      <c r="H78" s="122" t="s">
        <v>1613</v>
      </c>
    </row>
    <row r="79" spans="1:8" x14ac:dyDescent="0.2">
      <c r="A79" s="194"/>
      <c r="B79" s="199" t="s">
        <v>247</v>
      </c>
      <c r="C79" s="282" t="s">
        <v>2622</v>
      </c>
      <c r="D79" s="122" t="s">
        <v>1278</v>
      </c>
      <c r="E79" s="122" t="s">
        <v>2622</v>
      </c>
      <c r="F79" s="118" t="s">
        <v>107</v>
      </c>
      <c r="G79" s="118" t="s">
        <v>1503</v>
      </c>
      <c r="H79" s="122" t="s">
        <v>1614</v>
      </c>
    </row>
    <row r="80" spans="1:8" x14ac:dyDescent="0.2">
      <c r="A80" s="194"/>
      <c r="B80" s="199" t="s">
        <v>248</v>
      </c>
      <c r="C80" s="282" t="s">
        <v>2624</v>
      </c>
      <c r="D80" s="122" t="s">
        <v>1281</v>
      </c>
      <c r="E80" s="122" t="s">
        <v>2624</v>
      </c>
      <c r="F80" s="118" t="s">
        <v>108</v>
      </c>
      <c r="G80" s="118" t="s">
        <v>1504</v>
      </c>
      <c r="H80" s="122" t="s">
        <v>1615</v>
      </c>
    </row>
    <row r="81" spans="1:8" x14ac:dyDescent="0.2">
      <c r="A81" s="194"/>
      <c r="B81" s="199" t="s">
        <v>249</v>
      </c>
      <c r="C81" s="282" t="s">
        <v>1754</v>
      </c>
      <c r="D81" s="122" t="s">
        <v>2090</v>
      </c>
      <c r="E81" s="122" t="s">
        <v>1754</v>
      </c>
      <c r="F81" s="118" t="s">
        <v>109</v>
      </c>
      <c r="G81" s="118" t="s">
        <v>1505</v>
      </c>
      <c r="H81" s="122" t="s">
        <v>1616</v>
      </c>
    </row>
    <row r="82" spans="1:8" x14ac:dyDescent="0.2">
      <c r="A82" s="194"/>
      <c r="B82" s="199" t="s">
        <v>250</v>
      </c>
      <c r="C82" s="282" t="s">
        <v>1756</v>
      </c>
      <c r="D82" s="122" t="s">
        <v>1277</v>
      </c>
      <c r="E82" s="122" t="s">
        <v>1756</v>
      </c>
      <c r="F82" s="118" t="s">
        <v>110</v>
      </c>
      <c r="G82" s="118" t="s">
        <v>1506</v>
      </c>
      <c r="H82" s="122" t="s">
        <v>1617</v>
      </c>
    </row>
    <row r="83" spans="1:8" x14ac:dyDescent="0.2">
      <c r="A83" s="194"/>
      <c r="B83" s="199" t="s">
        <v>251</v>
      </c>
      <c r="C83" s="282" t="s">
        <v>2623</v>
      </c>
      <c r="D83" s="122" t="s">
        <v>1279</v>
      </c>
      <c r="E83" s="122" t="s">
        <v>2623</v>
      </c>
      <c r="F83" s="118" t="s">
        <v>111</v>
      </c>
      <c r="G83" s="118" t="s">
        <v>1507</v>
      </c>
      <c r="H83" s="122" t="s">
        <v>1618</v>
      </c>
    </row>
    <row r="84" spans="1:8" x14ac:dyDescent="0.2">
      <c r="A84" s="194"/>
      <c r="B84" s="199" t="s">
        <v>252</v>
      </c>
      <c r="C84" s="282" t="s">
        <v>2625</v>
      </c>
      <c r="D84" s="122" t="s">
        <v>1282</v>
      </c>
      <c r="E84" s="122" t="s">
        <v>2625</v>
      </c>
      <c r="F84" s="118" t="s">
        <v>112</v>
      </c>
      <c r="G84" s="118" t="s">
        <v>1508</v>
      </c>
      <c r="H84" s="122" t="s">
        <v>1619</v>
      </c>
    </row>
    <row r="85" spans="1:8" x14ac:dyDescent="0.2">
      <c r="A85" s="194"/>
      <c r="B85" s="199" t="s">
        <v>253</v>
      </c>
      <c r="C85" s="282" t="s">
        <v>2626</v>
      </c>
      <c r="D85" s="122" t="s">
        <v>1285</v>
      </c>
      <c r="E85" s="122" t="s">
        <v>2626</v>
      </c>
      <c r="F85" s="118" t="s">
        <v>113</v>
      </c>
      <c r="G85" s="118" t="s">
        <v>1509</v>
      </c>
      <c r="H85" s="122" t="s">
        <v>1620</v>
      </c>
    </row>
    <row r="86" spans="1:8" x14ac:dyDescent="0.2">
      <c r="A86" s="194"/>
      <c r="B86" s="199" t="s">
        <v>254</v>
      </c>
      <c r="C86" s="282" t="s">
        <v>2096</v>
      </c>
      <c r="D86" s="122" t="s">
        <v>1288</v>
      </c>
      <c r="E86" s="122" t="s">
        <v>2096</v>
      </c>
      <c r="F86" s="118" t="s">
        <v>114</v>
      </c>
      <c r="G86" s="118" t="s">
        <v>1510</v>
      </c>
      <c r="H86" s="122" t="s">
        <v>1621</v>
      </c>
    </row>
    <row r="87" spans="1:8" x14ac:dyDescent="0.2">
      <c r="A87" s="194"/>
      <c r="B87" s="199" t="s">
        <v>1219</v>
      </c>
      <c r="C87" s="282" t="s">
        <v>1291</v>
      </c>
      <c r="D87" s="122" t="s">
        <v>1292</v>
      </c>
      <c r="E87" s="122" t="s">
        <v>1291</v>
      </c>
      <c r="F87" s="118" t="s">
        <v>115</v>
      </c>
      <c r="G87" s="118" t="s">
        <v>1511</v>
      </c>
      <c r="H87" s="122" t="s">
        <v>1622</v>
      </c>
    </row>
    <row r="88" spans="1:8" x14ac:dyDescent="0.2">
      <c r="A88" s="194"/>
      <c r="B88" s="199" t="s">
        <v>255</v>
      </c>
      <c r="C88" s="282" t="s">
        <v>1283</v>
      </c>
      <c r="D88" s="122" t="s">
        <v>1284</v>
      </c>
      <c r="E88" s="122" t="s">
        <v>1283</v>
      </c>
      <c r="F88" s="118" t="s">
        <v>116</v>
      </c>
      <c r="G88" s="118" t="s">
        <v>1512</v>
      </c>
      <c r="H88" s="122" t="s">
        <v>1623</v>
      </c>
    </row>
    <row r="89" spans="1:8" x14ac:dyDescent="0.2">
      <c r="A89" s="194"/>
      <c r="B89" s="199" t="s">
        <v>256</v>
      </c>
      <c r="C89" s="282" t="s">
        <v>1286</v>
      </c>
      <c r="D89" s="122" t="s">
        <v>1287</v>
      </c>
      <c r="E89" s="122" t="s">
        <v>1286</v>
      </c>
      <c r="F89" s="118" t="s">
        <v>117</v>
      </c>
      <c r="G89" s="118" t="s">
        <v>1513</v>
      </c>
      <c r="H89" s="122" t="s">
        <v>1624</v>
      </c>
    </row>
    <row r="90" spans="1:8" x14ac:dyDescent="0.2">
      <c r="A90" s="194"/>
      <c r="B90" s="199" t="s">
        <v>257</v>
      </c>
      <c r="C90" s="282" t="s">
        <v>1289</v>
      </c>
      <c r="D90" s="122" t="s">
        <v>1290</v>
      </c>
      <c r="E90" s="122" t="s">
        <v>1289</v>
      </c>
      <c r="F90" s="118" t="s">
        <v>118</v>
      </c>
      <c r="G90" s="118" t="s">
        <v>1514</v>
      </c>
      <c r="H90" s="122" t="s">
        <v>1625</v>
      </c>
    </row>
    <row r="91" spans="1:8" x14ac:dyDescent="0.2">
      <c r="A91" s="194"/>
      <c r="B91" s="199" t="s">
        <v>244</v>
      </c>
      <c r="C91" s="282" t="s">
        <v>1293</v>
      </c>
      <c r="D91" s="122" t="s">
        <v>1294</v>
      </c>
      <c r="E91" s="122" t="s">
        <v>1293</v>
      </c>
      <c r="F91" s="118" t="s">
        <v>119</v>
      </c>
      <c r="G91" s="118" t="s">
        <v>1515</v>
      </c>
      <c r="H91" s="122" t="s">
        <v>1626</v>
      </c>
    </row>
    <row r="92" spans="1:8" x14ac:dyDescent="0.2">
      <c r="A92" s="194"/>
      <c r="B92" s="199" t="s">
        <v>243</v>
      </c>
      <c r="C92" s="282" t="s">
        <v>1295</v>
      </c>
      <c r="D92" s="122" t="s">
        <v>1296</v>
      </c>
      <c r="E92" s="122" t="s">
        <v>1295</v>
      </c>
      <c r="F92" s="118" t="s">
        <v>120</v>
      </c>
      <c r="G92" s="118" t="s">
        <v>1516</v>
      </c>
      <c r="H92" s="122" t="s">
        <v>1627</v>
      </c>
    </row>
    <row r="93" spans="1:8" x14ac:dyDescent="0.2">
      <c r="A93" s="194"/>
      <c r="B93" s="199" t="s">
        <v>1215</v>
      </c>
      <c r="C93" s="282" t="s">
        <v>2085</v>
      </c>
      <c r="D93" s="122" t="s">
        <v>2086</v>
      </c>
      <c r="E93" s="122" t="s">
        <v>2085</v>
      </c>
      <c r="F93" s="118" t="s">
        <v>121</v>
      </c>
      <c r="G93" s="118" t="s">
        <v>1517</v>
      </c>
      <c r="H93" s="122" t="s">
        <v>1628</v>
      </c>
    </row>
    <row r="94" spans="1:8" x14ac:dyDescent="0.2">
      <c r="A94" s="194"/>
      <c r="B94" s="199" t="s">
        <v>1216</v>
      </c>
      <c r="C94" s="282" t="s">
        <v>2087</v>
      </c>
      <c r="D94" s="122" t="s">
        <v>2088</v>
      </c>
      <c r="E94" s="122" t="s">
        <v>2087</v>
      </c>
      <c r="F94" s="118" t="s">
        <v>122</v>
      </c>
      <c r="G94" s="118" t="s">
        <v>1518</v>
      </c>
      <c r="H94" s="122" t="s">
        <v>1629</v>
      </c>
    </row>
    <row r="95" spans="1:8" x14ac:dyDescent="0.2">
      <c r="A95" s="194"/>
      <c r="B95" s="199" t="s">
        <v>1217</v>
      </c>
      <c r="C95" s="282" t="s">
        <v>1756</v>
      </c>
      <c r="D95" s="122" t="s">
        <v>1277</v>
      </c>
      <c r="E95" s="122" t="s">
        <v>1756</v>
      </c>
      <c r="F95" s="118" t="s">
        <v>110</v>
      </c>
      <c r="G95" s="118" t="s">
        <v>1506</v>
      </c>
      <c r="H95" s="122" t="s">
        <v>1617</v>
      </c>
    </row>
    <row r="96" spans="1:8" x14ac:dyDescent="0.2">
      <c r="A96" s="194"/>
      <c r="B96" s="199" t="s">
        <v>1218</v>
      </c>
      <c r="C96" s="282" t="s">
        <v>2623</v>
      </c>
      <c r="D96" s="122" t="s">
        <v>1279</v>
      </c>
      <c r="E96" s="122" t="s">
        <v>2623</v>
      </c>
      <c r="F96" s="118" t="s">
        <v>111</v>
      </c>
      <c r="G96" s="118" t="s">
        <v>1507</v>
      </c>
      <c r="H96" s="122" t="s">
        <v>1618</v>
      </c>
    </row>
    <row r="97" spans="1:8" x14ac:dyDescent="0.2">
      <c r="A97" s="194"/>
      <c r="B97" s="199" t="s">
        <v>1220</v>
      </c>
      <c r="C97" s="282" t="s">
        <v>1234</v>
      </c>
      <c r="D97" s="122" t="s">
        <v>1280</v>
      </c>
      <c r="E97" s="122" t="s">
        <v>1234</v>
      </c>
      <c r="F97" s="118" t="s">
        <v>123</v>
      </c>
      <c r="G97" s="118" t="s">
        <v>1519</v>
      </c>
      <c r="H97" s="122" t="s">
        <v>1630</v>
      </c>
    </row>
    <row r="98" spans="1:8" x14ac:dyDescent="0.2">
      <c r="A98" s="194"/>
      <c r="B98" s="199" t="s">
        <v>1407</v>
      </c>
      <c r="C98" s="282" t="s">
        <v>723</v>
      </c>
      <c r="D98" s="122" t="s">
        <v>1408</v>
      </c>
      <c r="E98" s="122" t="s">
        <v>723</v>
      </c>
      <c r="F98" s="118" t="s">
        <v>124</v>
      </c>
      <c r="G98" s="118" t="s">
        <v>1520</v>
      </c>
      <c r="H98" s="122" t="s">
        <v>1631</v>
      </c>
    </row>
    <row r="99" spans="1:8" x14ac:dyDescent="0.2">
      <c r="A99" s="194"/>
      <c r="B99" s="199" t="s">
        <v>1409</v>
      </c>
      <c r="C99" s="282" t="s">
        <v>724</v>
      </c>
      <c r="D99" s="122" t="s">
        <v>725</v>
      </c>
      <c r="E99" s="122" t="s">
        <v>724</v>
      </c>
      <c r="F99" s="118" t="s">
        <v>125</v>
      </c>
      <c r="G99" s="118" t="s">
        <v>1521</v>
      </c>
      <c r="H99" s="122" t="s">
        <v>1632</v>
      </c>
    </row>
    <row r="100" spans="1:8" x14ac:dyDescent="0.2">
      <c r="A100" s="194"/>
      <c r="B100" s="199" t="s">
        <v>1405</v>
      </c>
      <c r="C100" s="282" t="s">
        <v>722</v>
      </c>
      <c r="D100" s="122" t="s">
        <v>1406</v>
      </c>
      <c r="E100" s="122" t="s">
        <v>722</v>
      </c>
      <c r="F100" s="118" t="s">
        <v>126</v>
      </c>
      <c r="G100" s="118" t="s">
        <v>1522</v>
      </c>
      <c r="H100" s="122" t="s">
        <v>1633</v>
      </c>
    </row>
    <row r="101" spans="1:8" x14ac:dyDescent="0.2">
      <c r="A101" s="194"/>
      <c r="B101" s="199" t="s">
        <v>847</v>
      </c>
      <c r="C101" s="282" t="s">
        <v>848</v>
      </c>
      <c r="D101" s="122" t="s">
        <v>849</v>
      </c>
      <c r="E101" s="122" t="s">
        <v>848</v>
      </c>
      <c r="F101" s="118" t="s">
        <v>127</v>
      </c>
      <c r="G101" s="118" t="s">
        <v>2427</v>
      </c>
      <c r="H101" s="122" t="s">
        <v>1634</v>
      </c>
    </row>
    <row r="102" spans="1:8" x14ac:dyDescent="0.2">
      <c r="A102" s="194"/>
      <c r="B102" s="199" t="s">
        <v>1413</v>
      </c>
      <c r="C102" s="282" t="s">
        <v>1232</v>
      </c>
      <c r="D102" s="122" t="s">
        <v>1233</v>
      </c>
      <c r="E102" s="122" t="s">
        <v>1232</v>
      </c>
      <c r="F102" s="118" t="s">
        <v>128</v>
      </c>
      <c r="G102" s="118" t="s">
        <v>2428</v>
      </c>
      <c r="H102" s="122" t="s">
        <v>1635</v>
      </c>
    </row>
    <row r="103" spans="1:8" x14ac:dyDescent="0.2">
      <c r="A103" s="194"/>
      <c r="B103" s="199" t="s">
        <v>2336</v>
      </c>
      <c r="C103" s="282" t="s">
        <v>259</v>
      </c>
      <c r="D103" s="122" t="s">
        <v>260</v>
      </c>
      <c r="E103" s="122" t="s">
        <v>259</v>
      </c>
      <c r="F103" s="118" t="s">
        <v>129</v>
      </c>
      <c r="G103" s="118" t="s">
        <v>2429</v>
      </c>
      <c r="H103" s="122" t="s">
        <v>1636</v>
      </c>
    </row>
    <row r="104" spans="1:8" x14ac:dyDescent="0.2">
      <c r="A104" s="194"/>
      <c r="B104" s="199" t="s">
        <v>2337</v>
      </c>
      <c r="C104" s="282" t="s">
        <v>261</v>
      </c>
      <c r="D104" s="122" t="s">
        <v>1209</v>
      </c>
      <c r="E104" s="122" t="s">
        <v>261</v>
      </c>
      <c r="F104" s="118" t="s">
        <v>130</v>
      </c>
      <c r="G104" s="118" t="s">
        <v>2430</v>
      </c>
      <c r="H104" s="122" t="s">
        <v>1637</v>
      </c>
    </row>
    <row r="105" spans="1:8" x14ac:dyDescent="0.2">
      <c r="A105" s="194"/>
      <c r="B105" s="199" t="s">
        <v>2338</v>
      </c>
      <c r="C105" s="282" t="s">
        <v>2081</v>
      </c>
      <c r="D105" s="122" t="s">
        <v>2082</v>
      </c>
      <c r="E105" s="122" t="s">
        <v>2081</v>
      </c>
      <c r="F105" s="118" t="s">
        <v>131</v>
      </c>
      <c r="G105" s="118" t="s">
        <v>2431</v>
      </c>
      <c r="H105" s="122" t="s">
        <v>1638</v>
      </c>
    </row>
    <row r="106" spans="1:8" x14ac:dyDescent="0.2">
      <c r="A106" s="194"/>
      <c r="B106" s="199" t="s">
        <v>3165</v>
      </c>
      <c r="C106" s="282" t="s">
        <v>2117</v>
      </c>
      <c r="D106" s="122" t="s">
        <v>2118</v>
      </c>
      <c r="E106" s="122" t="s">
        <v>2117</v>
      </c>
      <c r="F106" s="118" t="s">
        <v>132</v>
      </c>
      <c r="G106" s="118" t="s">
        <v>2432</v>
      </c>
      <c r="H106" s="122" t="s">
        <v>2567</v>
      </c>
    </row>
    <row r="107" spans="1:8" x14ac:dyDescent="0.2">
      <c r="A107" s="194"/>
      <c r="B107" s="199" t="s">
        <v>3166</v>
      </c>
      <c r="C107" s="282" t="s">
        <v>2119</v>
      </c>
      <c r="D107" s="122" t="s">
        <v>2120</v>
      </c>
      <c r="E107" s="122" t="s">
        <v>2119</v>
      </c>
      <c r="F107" s="118" t="s">
        <v>133</v>
      </c>
      <c r="G107" s="118" t="s">
        <v>2433</v>
      </c>
      <c r="H107" s="122" t="s">
        <v>2568</v>
      </c>
    </row>
    <row r="108" spans="1:8" ht="25.5" x14ac:dyDescent="0.2">
      <c r="A108" s="194"/>
      <c r="B108" s="199" t="s">
        <v>3167</v>
      </c>
      <c r="C108" s="282" t="s">
        <v>2121</v>
      </c>
      <c r="D108" s="122" t="s">
        <v>1297</v>
      </c>
      <c r="E108" s="122" t="s">
        <v>2121</v>
      </c>
      <c r="F108" s="118" t="s">
        <v>134</v>
      </c>
      <c r="G108" s="118" t="s">
        <v>2434</v>
      </c>
      <c r="H108" s="122" t="s">
        <v>2569</v>
      </c>
    </row>
    <row r="109" spans="1:8" x14ac:dyDescent="0.2">
      <c r="A109" s="194"/>
      <c r="B109" s="199" t="s">
        <v>2341</v>
      </c>
      <c r="C109" s="282" t="s">
        <v>258</v>
      </c>
      <c r="D109" s="122" t="s">
        <v>2080</v>
      </c>
      <c r="E109" s="122" t="s">
        <v>258</v>
      </c>
      <c r="F109" s="118" t="s">
        <v>135</v>
      </c>
      <c r="G109" s="118" t="s">
        <v>2435</v>
      </c>
      <c r="H109" s="122" t="s">
        <v>2570</v>
      </c>
    </row>
    <row r="110" spans="1:8" x14ac:dyDescent="0.2">
      <c r="A110" s="194"/>
      <c r="B110" s="199" t="s">
        <v>2122</v>
      </c>
      <c r="C110" s="282" t="s">
        <v>2083</v>
      </c>
      <c r="D110" s="122" t="s">
        <v>2084</v>
      </c>
      <c r="E110" s="122" t="s">
        <v>2083</v>
      </c>
      <c r="F110" s="118" t="s">
        <v>136</v>
      </c>
      <c r="G110" s="118" t="s">
        <v>2436</v>
      </c>
      <c r="H110" s="122" t="s">
        <v>2455</v>
      </c>
    </row>
    <row r="111" spans="1:8" x14ac:dyDescent="0.2">
      <c r="A111" s="194"/>
      <c r="B111" s="199" t="s">
        <v>1545</v>
      </c>
      <c r="C111" s="282" t="s">
        <v>592</v>
      </c>
      <c r="D111" s="122" t="s">
        <v>586</v>
      </c>
      <c r="E111" s="122" t="s">
        <v>592</v>
      </c>
      <c r="F111" s="122" t="s">
        <v>592</v>
      </c>
      <c r="G111" s="118" t="s">
        <v>1477</v>
      </c>
      <c r="H111" s="122" t="s">
        <v>2456</v>
      </c>
    </row>
    <row r="112" spans="1:8" x14ac:dyDescent="0.2">
      <c r="A112" s="194"/>
      <c r="B112" s="199" t="s">
        <v>1546</v>
      </c>
      <c r="C112" s="282" t="s">
        <v>593</v>
      </c>
      <c r="D112" s="122" t="s">
        <v>587</v>
      </c>
      <c r="E112" s="122" t="s">
        <v>593</v>
      </c>
      <c r="F112" s="122" t="s">
        <v>593</v>
      </c>
      <c r="G112" s="118" t="s">
        <v>1478</v>
      </c>
      <c r="H112" s="122" t="s">
        <v>2457</v>
      </c>
    </row>
    <row r="113" spans="1:8" x14ac:dyDescent="0.2">
      <c r="A113" s="194"/>
      <c r="B113" s="199" t="s">
        <v>1547</v>
      </c>
      <c r="C113" s="282" t="s">
        <v>594</v>
      </c>
      <c r="D113" s="122" t="s">
        <v>588</v>
      </c>
      <c r="E113" s="122" t="s">
        <v>594</v>
      </c>
      <c r="F113" s="122" t="s">
        <v>594</v>
      </c>
      <c r="G113" s="118" t="s">
        <v>1479</v>
      </c>
      <c r="H113" s="122" t="s">
        <v>1298</v>
      </c>
    </row>
    <row r="114" spans="1:8" x14ac:dyDescent="0.2">
      <c r="A114" s="194"/>
      <c r="B114" s="199" t="s">
        <v>1548</v>
      </c>
      <c r="C114" s="282" t="s">
        <v>595</v>
      </c>
      <c r="D114" s="122" t="s">
        <v>589</v>
      </c>
      <c r="E114" s="122" t="s">
        <v>595</v>
      </c>
      <c r="F114" s="122" t="s">
        <v>595</v>
      </c>
      <c r="G114" s="118" t="s">
        <v>1480</v>
      </c>
      <c r="H114" s="122" t="s">
        <v>1299</v>
      </c>
    </row>
    <row r="115" spans="1:8" x14ac:dyDescent="0.2">
      <c r="A115" s="194"/>
      <c r="B115" s="199" t="s">
        <v>1549</v>
      </c>
      <c r="C115" s="282" t="s">
        <v>596</v>
      </c>
      <c r="D115" s="122" t="s">
        <v>590</v>
      </c>
      <c r="E115" s="122" t="s">
        <v>596</v>
      </c>
      <c r="F115" s="122" t="s">
        <v>596</v>
      </c>
      <c r="G115" s="118" t="s">
        <v>1481</v>
      </c>
      <c r="H115" s="122" t="s">
        <v>1300</v>
      </c>
    </row>
    <row r="116" spans="1:8" x14ac:dyDescent="0.2">
      <c r="A116" s="194"/>
      <c r="B116" s="199" t="s">
        <v>1213</v>
      </c>
      <c r="C116" s="283" t="s">
        <v>597</v>
      </c>
      <c r="D116" s="122" t="s">
        <v>591</v>
      </c>
      <c r="E116" s="122" t="s">
        <v>597</v>
      </c>
      <c r="F116" s="122" t="s">
        <v>597</v>
      </c>
      <c r="G116" s="118" t="s">
        <v>1482</v>
      </c>
      <c r="H116" s="122" t="s">
        <v>1301</v>
      </c>
    </row>
    <row r="117" spans="1:8" ht="25.5" x14ac:dyDescent="0.2">
      <c r="A117" s="194"/>
      <c r="B117" s="199" t="s">
        <v>320</v>
      </c>
      <c r="C117" s="282" t="s">
        <v>727</v>
      </c>
      <c r="D117" s="122" t="s">
        <v>728</v>
      </c>
      <c r="E117" s="122" t="s">
        <v>727</v>
      </c>
      <c r="F117" s="118" t="s">
        <v>2437</v>
      </c>
      <c r="G117" s="122" t="s">
        <v>2280</v>
      </c>
      <c r="H117" s="122" t="s">
        <v>286</v>
      </c>
    </row>
    <row r="118" spans="1:8" x14ac:dyDescent="0.2">
      <c r="A118" s="194"/>
      <c r="B118" s="199" t="s">
        <v>432</v>
      </c>
      <c r="C118" s="282" t="s">
        <v>1916</v>
      </c>
      <c r="D118" s="122" t="s">
        <v>1795</v>
      </c>
      <c r="E118" s="122" t="s">
        <v>1916</v>
      </c>
      <c r="F118" s="118" t="s">
        <v>766</v>
      </c>
      <c r="G118" s="122" t="s">
        <v>2036</v>
      </c>
      <c r="H118" s="122" t="s">
        <v>287</v>
      </c>
    </row>
    <row r="119" spans="1:8" ht="25.5" x14ac:dyDescent="0.2">
      <c r="A119" s="194"/>
      <c r="B119" s="199" t="s">
        <v>321</v>
      </c>
      <c r="C119" s="282" t="s">
        <v>1958</v>
      </c>
      <c r="D119" s="122" t="s">
        <v>1957</v>
      </c>
      <c r="E119" s="122" t="s">
        <v>1958</v>
      </c>
      <c r="F119" s="118" t="s">
        <v>2438</v>
      </c>
      <c r="G119" s="122" t="s">
        <v>2281</v>
      </c>
      <c r="H119" s="122" t="s">
        <v>288</v>
      </c>
    </row>
    <row r="120" spans="1:8" x14ac:dyDescent="0.2">
      <c r="A120" s="194"/>
      <c r="B120" s="199" t="s">
        <v>433</v>
      </c>
      <c r="C120" s="282" t="s">
        <v>1920</v>
      </c>
      <c r="D120" s="122" t="s">
        <v>1799</v>
      </c>
      <c r="E120" s="122" t="s">
        <v>1920</v>
      </c>
      <c r="F120" s="118" t="s">
        <v>767</v>
      </c>
      <c r="G120" s="122" t="s">
        <v>2037</v>
      </c>
      <c r="H120" s="122" t="s">
        <v>289</v>
      </c>
    </row>
    <row r="121" spans="1:8" ht="25.5" x14ac:dyDescent="0.2">
      <c r="A121" s="194"/>
      <c r="B121" s="199" t="s">
        <v>322</v>
      </c>
      <c r="C121" s="282" t="s">
        <v>2220</v>
      </c>
      <c r="D121" s="122" t="s">
        <v>2221</v>
      </c>
      <c r="E121" s="122" t="s">
        <v>2220</v>
      </c>
      <c r="F121" s="118" t="s">
        <v>2439</v>
      </c>
      <c r="G121" s="122" t="s">
        <v>2282</v>
      </c>
      <c r="H121" s="122" t="s">
        <v>290</v>
      </c>
    </row>
    <row r="122" spans="1:8" x14ac:dyDescent="0.2">
      <c r="A122" s="194"/>
      <c r="B122" s="199" t="s">
        <v>434</v>
      </c>
      <c r="C122" s="282" t="s">
        <v>1917</v>
      </c>
      <c r="D122" s="122" t="s">
        <v>1796</v>
      </c>
      <c r="E122" s="122" t="s">
        <v>1917</v>
      </c>
      <c r="F122" s="118" t="s">
        <v>768</v>
      </c>
      <c r="G122" s="122" t="s">
        <v>2038</v>
      </c>
      <c r="H122" s="122" t="s">
        <v>291</v>
      </c>
    </row>
    <row r="123" spans="1:8" ht="25.5" x14ac:dyDescent="0.2">
      <c r="A123" s="194"/>
      <c r="B123" s="199" t="s">
        <v>323</v>
      </c>
      <c r="C123" s="282" t="s">
        <v>1982</v>
      </c>
      <c r="D123" s="122" t="s">
        <v>1981</v>
      </c>
      <c r="E123" s="122" t="s">
        <v>1982</v>
      </c>
      <c r="F123" s="118" t="s">
        <v>2440</v>
      </c>
      <c r="G123" s="122" t="s">
        <v>2283</v>
      </c>
      <c r="H123" s="122" t="s">
        <v>292</v>
      </c>
    </row>
    <row r="124" spans="1:8" x14ac:dyDescent="0.2">
      <c r="A124" s="194"/>
      <c r="B124" s="199" t="s">
        <v>435</v>
      </c>
      <c r="C124" s="282" t="s">
        <v>569</v>
      </c>
      <c r="D124" s="122" t="s">
        <v>1889</v>
      </c>
      <c r="E124" s="122" t="s">
        <v>569</v>
      </c>
      <c r="F124" s="118" t="s">
        <v>769</v>
      </c>
      <c r="G124" s="122" t="s">
        <v>2039</v>
      </c>
      <c r="H124" s="122" t="s">
        <v>293</v>
      </c>
    </row>
    <row r="125" spans="1:8" ht="25.5" x14ac:dyDescent="0.2">
      <c r="A125" s="194"/>
      <c r="B125" s="199" t="s">
        <v>324</v>
      </c>
      <c r="C125" s="282" t="s">
        <v>2222</v>
      </c>
      <c r="D125" s="122" t="s">
        <v>2223</v>
      </c>
      <c r="E125" s="122" t="s">
        <v>2222</v>
      </c>
      <c r="F125" s="118" t="s">
        <v>2441</v>
      </c>
      <c r="G125" s="122" t="s">
        <v>2284</v>
      </c>
      <c r="H125" s="122" t="s">
        <v>294</v>
      </c>
    </row>
    <row r="126" spans="1:8" x14ac:dyDescent="0.2">
      <c r="A126" s="194"/>
      <c r="B126" s="199" t="s">
        <v>436</v>
      </c>
      <c r="C126" s="282" t="s">
        <v>1924</v>
      </c>
      <c r="D126" s="122" t="s">
        <v>1844</v>
      </c>
      <c r="E126" s="122" t="s">
        <v>1924</v>
      </c>
      <c r="F126" s="118" t="s">
        <v>770</v>
      </c>
      <c r="G126" s="122" t="s">
        <v>2616</v>
      </c>
      <c r="H126" s="122" t="s">
        <v>295</v>
      </c>
    </row>
    <row r="127" spans="1:8" ht="25.5" x14ac:dyDescent="0.2">
      <c r="A127" s="194"/>
      <c r="B127" s="199" t="s">
        <v>325</v>
      </c>
      <c r="C127" s="282" t="s">
        <v>2628</v>
      </c>
      <c r="D127" s="122" t="s">
        <v>2627</v>
      </c>
      <c r="E127" s="122" t="s">
        <v>2628</v>
      </c>
      <c r="F127" s="118" t="s">
        <v>2442</v>
      </c>
      <c r="G127" s="122" t="s">
        <v>2285</v>
      </c>
      <c r="H127" s="122" t="s">
        <v>296</v>
      </c>
    </row>
    <row r="128" spans="1:8" x14ac:dyDescent="0.2">
      <c r="A128" s="194"/>
      <c r="B128" s="199" t="s">
        <v>437</v>
      </c>
      <c r="C128" s="282" t="s">
        <v>2026</v>
      </c>
      <c r="D128" s="122" t="s">
        <v>1897</v>
      </c>
      <c r="E128" s="122" t="s">
        <v>2026</v>
      </c>
      <c r="F128" s="118" t="s">
        <v>771</v>
      </c>
      <c r="G128" s="122" t="s">
        <v>2617</v>
      </c>
      <c r="H128" s="122" t="s">
        <v>297</v>
      </c>
    </row>
    <row r="129" spans="1:8" x14ac:dyDescent="0.2">
      <c r="A129" s="194"/>
      <c r="B129" s="199"/>
      <c r="C129" s="282"/>
      <c r="D129" s="122"/>
      <c r="E129" s="122"/>
      <c r="F129" s="118"/>
      <c r="G129" s="122"/>
      <c r="H129" s="122" t="s">
        <v>298</v>
      </c>
    </row>
    <row r="130" spans="1:8" x14ac:dyDescent="0.2">
      <c r="A130" s="194"/>
      <c r="B130" s="199"/>
      <c r="C130" s="282"/>
      <c r="D130" s="122"/>
      <c r="E130" s="122"/>
      <c r="F130" s="118"/>
      <c r="G130" s="122"/>
      <c r="H130" s="122" t="s">
        <v>299</v>
      </c>
    </row>
    <row r="131" spans="1:8" ht="25.5" x14ac:dyDescent="0.2">
      <c r="A131" s="194"/>
      <c r="B131" s="199" t="s">
        <v>326</v>
      </c>
      <c r="C131" s="282" t="s">
        <v>1960</v>
      </c>
      <c r="D131" s="122" t="s">
        <v>1959</v>
      </c>
      <c r="E131" s="122" t="s">
        <v>1960</v>
      </c>
      <c r="F131" s="118" t="s">
        <v>2443</v>
      </c>
      <c r="G131" s="122" t="s">
        <v>2286</v>
      </c>
      <c r="H131" s="122" t="s">
        <v>300</v>
      </c>
    </row>
    <row r="132" spans="1:8" x14ac:dyDescent="0.2">
      <c r="A132" s="194"/>
      <c r="B132" s="199" t="s">
        <v>438</v>
      </c>
      <c r="C132" s="282" t="s">
        <v>1921</v>
      </c>
      <c r="D132" s="122" t="s">
        <v>1800</v>
      </c>
      <c r="E132" s="122" t="s">
        <v>1921</v>
      </c>
      <c r="F132" s="118" t="s">
        <v>772</v>
      </c>
      <c r="G132" s="122" t="s">
        <v>2618</v>
      </c>
      <c r="H132" s="122" t="s">
        <v>301</v>
      </c>
    </row>
    <row r="133" spans="1:8" ht="25.5" x14ac:dyDescent="0.2">
      <c r="A133" s="194"/>
      <c r="B133" s="199" t="s">
        <v>327</v>
      </c>
      <c r="C133" s="282" t="s">
        <v>1966</v>
      </c>
      <c r="D133" s="122" t="s">
        <v>1965</v>
      </c>
      <c r="E133" s="122" t="s">
        <v>1966</v>
      </c>
      <c r="F133" s="118" t="s">
        <v>2444</v>
      </c>
      <c r="G133" s="122" t="s">
        <v>2377</v>
      </c>
      <c r="H133" s="122" t="s">
        <v>302</v>
      </c>
    </row>
    <row r="134" spans="1:8" x14ac:dyDescent="0.2">
      <c r="A134" s="194"/>
      <c r="B134" s="199" t="s">
        <v>439</v>
      </c>
      <c r="C134" s="282" t="s">
        <v>1154</v>
      </c>
      <c r="D134" s="122" t="s">
        <v>1366</v>
      </c>
      <c r="E134" s="122" t="s">
        <v>1154</v>
      </c>
      <c r="F134" s="118" t="s">
        <v>773</v>
      </c>
      <c r="G134" s="122" t="s">
        <v>2619</v>
      </c>
      <c r="H134" s="122" t="s">
        <v>303</v>
      </c>
    </row>
    <row r="135" spans="1:8" ht="25.5" x14ac:dyDescent="0.2">
      <c r="A135" s="194"/>
      <c r="B135" s="199" t="s">
        <v>328</v>
      </c>
      <c r="C135" s="282" t="s">
        <v>2226</v>
      </c>
      <c r="D135" s="122" t="s">
        <v>2405</v>
      </c>
      <c r="E135" s="122" t="s">
        <v>2226</v>
      </c>
      <c r="F135" s="118" t="s">
        <v>2445</v>
      </c>
      <c r="G135" s="122" t="s">
        <v>2378</v>
      </c>
      <c r="H135" s="122" t="s">
        <v>304</v>
      </c>
    </row>
    <row r="136" spans="1:8" x14ac:dyDescent="0.2">
      <c r="A136" s="194"/>
      <c r="B136" s="199" t="s">
        <v>440</v>
      </c>
      <c r="C136" s="282" t="s">
        <v>1918</v>
      </c>
      <c r="D136" s="122" t="s">
        <v>1797</v>
      </c>
      <c r="E136" s="122" t="s">
        <v>1918</v>
      </c>
      <c r="F136" s="118" t="s">
        <v>774</v>
      </c>
      <c r="G136" s="122" t="s">
        <v>2620</v>
      </c>
      <c r="H136" s="122" t="s">
        <v>305</v>
      </c>
    </row>
    <row r="137" spans="1:8" ht="25.5" x14ac:dyDescent="0.2">
      <c r="A137" s="194"/>
      <c r="B137" s="199" t="s">
        <v>329</v>
      </c>
      <c r="C137" s="282" t="s">
        <v>1984</v>
      </c>
      <c r="D137" s="122" t="s">
        <v>1983</v>
      </c>
      <c r="E137" s="122" t="s">
        <v>1984</v>
      </c>
      <c r="F137" s="118" t="s">
        <v>2446</v>
      </c>
      <c r="G137" s="122" t="s">
        <v>2379</v>
      </c>
      <c r="H137" s="122" t="s">
        <v>306</v>
      </c>
    </row>
    <row r="138" spans="1:8" x14ac:dyDescent="0.2">
      <c r="A138" s="194"/>
      <c r="B138" s="199" t="s">
        <v>441</v>
      </c>
      <c r="C138" s="282" t="s">
        <v>570</v>
      </c>
      <c r="D138" s="122" t="s">
        <v>1890</v>
      </c>
      <c r="E138" s="122" t="s">
        <v>570</v>
      </c>
      <c r="F138" s="118" t="s">
        <v>775</v>
      </c>
      <c r="G138" s="122" t="s">
        <v>1695</v>
      </c>
      <c r="H138" s="122" t="s">
        <v>307</v>
      </c>
    </row>
    <row r="139" spans="1:8" ht="25.5" x14ac:dyDescent="0.2">
      <c r="A139" s="194"/>
      <c r="B139" s="199" t="s">
        <v>330</v>
      </c>
      <c r="C139" s="282" t="s">
        <v>2406</v>
      </c>
      <c r="D139" s="122" t="s">
        <v>2407</v>
      </c>
      <c r="E139" s="122" t="s">
        <v>2406</v>
      </c>
      <c r="F139" s="118" t="s">
        <v>2447</v>
      </c>
      <c r="G139" s="122" t="s">
        <v>2380</v>
      </c>
      <c r="H139" s="122" t="s">
        <v>308</v>
      </c>
    </row>
    <row r="140" spans="1:8" x14ac:dyDescent="0.2">
      <c r="A140" s="194"/>
      <c r="B140" s="199" t="s">
        <v>442</v>
      </c>
      <c r="C140" s="282" t="s">
        <v>1925</v>
      </c>
      <c r="D140" s="122" t="s">
        <v>1845</v>
      </c>
      <c r="E140" s="122" t="s">
        <v>1925</v>
      </c>
      <c r="F140" s="118" t="s">
        <v>776</v>
      </c>
      <c r="G140" s="122" t="s">
        <v>1696</v>
      </c>
      <c r="H140" s="122" t="s">
        <v>309</v>
      </c>
    </row>
    <row r="141" spans="1:8" ht="25.5" x14ac:dyDescent="0.2">
      <c r="A141" s="194"/>
      <c r="B141" s="199" t="s">
        <v>331</v>
      </c>
      <c r="C141" s="282" t="s">
        <v>2630</v>
      </c>
      <c r="D141" s="122" t="s">
        <v>2629</v>
      </c>
      <c r="E141" s="122" t="s">
        <v>2630</v>
      </c>
      <c r="F141" s="118" t="s">
        <v>2448</v>
      </c>
      <c r="G141" s="122" t="s">
        <v>2381</v>
      </c>
      <c r="H141" s="122" t="s">
        <v>310</v>
      </c>
    </row>
    <row r="142" spans="1:8" x14ac:dyDescent="0.2">
      <c r="A142" s="194"/>
      <c r="B142" s="199" t="s">
        <v>443</v>
      </c>
      <c r="C142" s="282" t="s">
        <v>2027</v>
      </c>
      <c r="D142" s="122" t="s">
        <v>1898</v>
      </c>
      <c r="E142" s="122" t="s">
        <v>2027</v>
      </c>
      <c r="F142" s="118" t="s">
        <v>832</v>
      </c>
      <c r="G142" s="122" t="s">
        <v>1697</v>
      </c>
      <c r="H142" s="122" t="s">
        <v>311</v>
      </c>
    </row>
    <row r="143" spans="1:8" ht="25.5" x14ac:dyDescent="0.2">
      <c r="A143" s="194"/>
      <c r="B143" s="199" t="s">
        <v>332</v>
      </c>
      <c r="C143" s="282" t="s">
        <v>1313</v>
      </c>
      <c r="D143" s="122" t="s">
        <v>1312</v>
      </c>
      <c r="E143" s="122" t="s">
        <v>1313</v>
      </c>
      <c r="F143" s="118" t="s">
        <v>2449</v>
      </c>
      <c r="G143" s="122" t="s">
        <v>2382</v>
      </c>
      <c r="H143" s="122" t="s">
        <v>312</v>
      </c>
    </row>
    <row r="144" spans="1:8" x14ac:dyDescent="0.2">
      <c r="A144" s="194"/>
      <c r="B144" s="199" t="s">
        <v>444</v>
      </c>
      <c r="C144" s="282" t="s">
        <v>2607</v>
      </c>
      <c r="D144" s="122" t="s">
        <v>1907</v>
      </c>
      <c r="E144" s="122" t="s">
        <v>2607</v>
      </c>
      <c r="F144" s="118" t="s">
        <v>833</v>
      </c>
      <c r="G144" s="122" t="s">
        <v>1698</v>
      </c>
      <c r="H144" s="122" t="s">
        <v>313</v>
      </c>
    </row>
    <row r="145" spans="1:8" ht="25.5" x14ac:dyDescent="0.2">
      <c r="A145" s="194"/>
      <c r="B145" s="199" t="s">
        <v>333</v>
      </c>
      <c r="C145" s="282" t="s">
        <v>1962</v>
      </c>
      <c r="D145" s="122" t="s">
        <v>1961</v>
      </c>
      <c r="E145" s="122" t="s">
        <v>1962</v>
      </c>
      <c r="F145" s="118" t="s">
        <v>2450</v>
      </c>
      <c r="G145" s="122" t="s">
        <v>2383</v>
      </c>
      <c r="H145" s="122" t="s">
        <v>314</v>
      </c>
    </row>
    <row r="146" spans="1:8" x14ac:dyDescent="0.2">
      <c r="A146" s="194"/>
      <c r="B146" s="199" t="s">
        <v>445</v>
      </c>
      <c r="C146" s="282" t="s">
        <v>1922</v>
      </c>
      <c r="D146" s="122" t="s">
        <v>1801</v>
      </c>
      <c r="E146" s="122" t="s">
        <v>1922</v>
      </c>
      <c r="F146" s="118" t="s">
        <v>834</v>
      </c>
      <c r="G146" s="122" t="s">
        <v>1699</v>
      </c>
      <c r="H146" s="122" t="s">
        <v>315</v>
      </c>
    </row>
    <row r="147" spans="1:8" ht="25.5" x14ac:dyDescent="0.2">
      <c r="A147" s="194"/>
      <c r="B147" s="199" t="s">
        <v>334</v>
      </c>
      <c r="C147" s="282" t="s">
        <v>1968</v>
      </c>
      <c r="D147" s="122" t="s">
        <v>1967</v>
      </c>
      <c r="E147" s="122" t="s">
        <v>1968</v>
      </c>
      <c r="F147" s="118" t="s">
        <v>2451</v>
      </c>
      <c r="G147" s="122" t="s">
        <v>2384</v>
      </c>
      <c r="H147" s="122" t="s">
        <v>316</v>
      </c>
    </row>
    <row r="148" spans="1:8" x14ac:dyDescent="0.2">
      <c r="A148" s="194"/>
      <c r="B148" s="199" t="s">
        <v>446</v>
      </c>
      <c r="C148" s="282" t="s">
        <v>1155</v>
      </c>
      <c r="D148" s="122" t="s">
        <v>2719</v>
      </c>
      <c r="E148" s="122" t="s">
        <v>1155</v>
      </c>
      <c r="F148" s="118" t="s">
        <v>835</v>
      </c>
      <c r="G148" s="122" t="s">
        <v>1700</v>
      </c>
      <c r="H148" s="122" t="s">
        <v>317</v>
      </c>
    </row>
    <row r="149" spans="1:8" ht="25.5" x14ac:dyDescent="0.2">
      <c r="A149" s="194"/>
      <c r="B149" s="199" t="s">
        <v>335</v>
      </c>
      <c r="C149" s="282" t="s">
        <v>1986</v>
      </c>
      <c r="D149" s="122" t="s">
        <v>1985</v>
      </c>
      <c r="E149" s="122" t="s">
        <v>1986</v>
      </c>
      <c r="F149" s="118" t="s">
        <v>2452</v>
      </c>
      <c r="G149" s="122" t="s">
        <v>2385</v>
      </c>
      <c r="H149" s="122" t="s">
        <v>318</v>
      </c>
    </row>
    <row r="150" spans="1:8" x14ac:dyDescent="0.2">
      <c r="A150" s="194"/>
      <c r="B150" s="199" t="s">
        <v>447</v>
      </c>
      <c r="C150" s="282" t="s">
        <v>571</v>
      </c>
      <c r="D150" s="122" t="s">
        <v>1891</v>
      </c>
      <c r="E150" s="122" t="s">
        <v>571</v>
      </c>
      <c r="F150" s="118" t="s">
        <v>836</v>
      </c>
      <c r="G150" s="122" t="s">
        <v>1701</v>
      </c>
      <c r="H150" s="122" t="s">
        <v>319</v>
      </c>
    </row>
    <row r="151" spans="1:8" ht="25.5" x14ac:dyDescent="0.2">
      <c r="A151" s="194"/>
      <c r="B151" s="199" t="s">
        <v>336</v>
      </c>
      <c r="C151" s="282" t="s">
        <v>2409</v>
      </c>
      <c r="D151" s="122" t="s">
        <v>2410</v>
      </c>
      <c r="E151" s="122" t="s">
        <v>2409</v>
      </c>
      <c r="F151" s="118" t="s">
        <v>2453</v>
      </c>
      <c r="G151" s="122" t="s">
        <v>2386</v>
      </c>
      <c r="H151" s="122" t="s">
        <v>1337</v>
      </c>
    </row>
    <row r="152" spans="1:8" x14ac:dyDescent="0.2">
      <c r="A152" s="194"/>
      <c r="B152" s="199" t="s">
        <v>448</v>
      </c>
      <c r="C152" s="282" t="s">
        <v>1926</v>
      </c>
      <c r="D152" s="122" t="s">
        <v>1846</v>
      </c>
      <c r="E152" s="122" t="s">
        <v>1926</v>
      </c>
      <c r="F152" s="118" t="s">
        <v>837</v>
      </c>
      <c r="G152" s="122" t="s">
        <v>1702</v>
      </c>
      <c r="H152" s="122" t="s">
        <v>1338</v>
      </c>
    </row>
    <row r="153" spans="1:8" ht="25.5" x14ac:dyDescent="0.2">
      <c r="A153" s="194"/>
      <c r="B153" s="199" t="s">
        <v>337</v>
      </c>
      <c r="C153" s="282" t="s">
        <v>1751</v>
      </c>
      <c r="D153" s="122" t="s">
        <v>1750</v>
      </c>
      <c r="E153" s="122" t="s">
        <v>1751</v>
      </c>
      <c r="F153" s="118" t="s">
        <v>2454</v>
      </c>
      <c r="G153" s="122" t="s">
        <v>2387</v>
      </c>
      <c r="H153" s="122" t="s">
        <v>1339</v>
      </c>
    </row>
    <row r="154" spans="1:8" x14ac:dyDescent="0.2">
      <c r="A154" s="194"/>
      <c r="B154" s="199" t="s">
        <v>449</v>
      </c>
      <c r="C154" s="282" t="s">
        <v>2028</v>
      </c>
      <c r="D154" s="122" t="s">
        <v>1899</v>
      </c>
      <c r="E154" s="122" t="s">
        <v>2028</v>
      </c>
      <c r="F154" s="118" t="s">
        <v>1120</v>
      </c>
      <c r="G154" s="122" t="s">
        <v>794</v>
      </c>
      <c r="H154" s="122" t="s">
        <v>1340</v>
      </c>
    </row>
    <row r="155" spans="1:8" ht="25.5" x14ac:dyDescent="0.2">
      <c r="A155" s="194"/>
      <c r="B155" s="199" t="s">
        <v>338</v>
      </c>
      <c r="C155" s="282" t="s">
        <v>1315</v>
      </c>
      <c r="D155" s="122" t="s">
        <v>1314</v>
      </c>
      <c r="E155" s="122" t="s">
        <v>1315</v>
      </c>
      <c r="F155" s="118" t="s">
        <v>731</v>
      </c>
      <c r="G155" s="122" t="s">
        <v>2388</v>
      </c>
      <c r="H155" s="122" t="s">
        <v>1341</v>
      </c>
    </row>
    <row r="156" spans="1:8" x14ac:dyDescent="0.2">
      <c r="A156" s="194"/>
      <c r="B156" s="199" t="s">
        <v>450</v>
      </c>
      <c r="C156" s="282" t="s">
        <v>2608</v>
      </c>
      <c r="D156" s="122" t="s">
        <v>1908</v>
      </c>
      <c r="E156" s="122" t="s">
        <v>2608</v>
      </c>
      <c r="F156" s="118" t="s">
        <v>1121</v>
      </c>
      <c r="G156" s="122" t="s">
        <v>795</v>
      </c>
      <c r="H156" s="122" t="s">
        <v>1342</v>
      </c>
    </row>
    <row r="157" spans="1:8" ht="25.5" x14ac:dyDescent="0.2">
      <c r="A157" s="194"/>
      <c r="B157" s="199" t="s">
        <v>339</v>
      </c>
      <c r="C157" s="282" t="s">
        <v>1970</v>
      </c>
      <c r="D157" s="122" t="s">
        <v>1969</v>
      </c>
      <c r="E157" s="122" t="s">
        <v>1970</v>
      </c>
      <c r="F157" s="118" t="s">
        <v>732</v>
      </c>
      <c r="G157" s="122" t="s">
        <v>2389</v>
      </c>
      <c r="H157" s="122" t="s">
        <v>1343</v>
      </c>
    </row>
    <row r="158" spans="1:8" x14ac:dyDescent="0.2">
      <c r="A158" s="194"/>
      <c r="B158" s="199" t="s">
        <v>451</v>
      </c>
      <c r="C158" s="282" t="s">
        <v>1156</v>
      </c>
      <c r="D158" s="122" t="s">
        <v>1883</v>
      </c>
      <c r="E158" s="122" t="s">
        <v>1156</v>
      </c>
      <c r="F158" s="118" t="s">
        <v>1122</v>
      </c>
      <c r="G158" s="122" t="s">
        <v>796</v>
      </c>
      <c r="H158" s="122" t="s">
        <v>1344</v>
      </c>
    </row>
    <row r="159" spans="1:8" ht="25.5" x14ac:dyDescent="0.2">
      <c r="A159" s="194"/>
      <c r="B159" s="199" t="s">
        <v>340</v>
      </c>
      <c r="C159" s="282" t="s">
        <v>2412</v>
      </c>
      <c r="D159" s="122" t="s">
        <v>2413</v>
      </c>
      <c r="E159" s="122" t="s">
        <v>2412</v>
      </c>
      <c r="F159" s="118" t="s">
        <v>733</v>
      </c>
      <c r="G159" s="122" t="s">
        <v>2390</v>
      </c>
      <c r="H159" s="122" t="s">
        <v>1345</v>
      </c>
    </row>
    <row r="160" spans="1:8" x14ac:dyDescent="0.2">
      <c r="A160" s="194"/>
      <c r="B160" s="199" t="s">
        <v>452</v>
      </c>
      <c r="C160" s="282" t="s">
        <v>1919</v>
      </c>
      <c r="D160" s="122" t="s">
        <v>1798</v>
      </c>
      <c r="E160" s="122" t="s">
        <v>1919</v>
      </c>
      <c r="F160" s="118" t="s">
        <v>1123</v>
      </c>
      <c r="G160" s="122" t="s">
        <v>791</v>
      </c>
      <c r="H160" s="122" t="s">
        <v>1346</v>
      </c>
    </row>
    <row r="161" spans="1:8" ht="25.5" x14ac:dyDescent="0.2">
      <c r="A161" s="194"/>
      <c r="B161" s="199" t="s">
        <v>341</v>
      </c>
      <c r="C161" s="282" t="s">
        <v>1964</v>
      </c>
      <c r="D161" s="122" t="s">
        <v>1963</v>
      </c>
      <c r="E161" s="122" t="s">
        <v>1964</v>
      </c>
      <c r="F161" s="118" t="s">
        <v>734</v>
      </c>
      <c r="G161" s="122" t="s">
        <v>2391</v>
      </c>
      <c r="H161" s="122" t="s">
        <v>1347</v>
      </c>
    </row>
    <row r="162" spans="1:8" x14ac:dyDescent="0.2">
      <c r="A162" s="194"/>
      <c r="B162" s="199" t="s">
        <v>453</v>
      </c>
      <c r="C162" s="282" t="s">
        <v>1923</v>
      </c>
      <c r="D162" s="122" t="s">
        <v>1802</v>
      </c>
      <c r="E162" s="122" t="s">
        <v>1923</v>
      </c>
      <c r="F162" s="118" t="s">
        <v>1124</v>
      </c>
      <c r="G162" s="122" t="s">
        <v>792</v>
      </c>
      <c r="H162" s="122" t="s">
        <v>1348</v>
      </c>
    </row>
    <row r="163" spans="1:8" ht="25.5" x14ac:dyDescent="0.2">
      <c r="A163" s="194"/>
      <c r="B163" s="199" t="s">
        <v>342</v>
      </c>
      <c r="C163" s="282" t="s">
        <v>1988</v>
      </c>
      <c r="D163" s="122" t="s">
        <v>1987</v>
      </c>
      <c r="E163" s="122" t="s">
        <v>1988</v>
      </c>
      <c r="F163" s="118" t="s">
        <v>735</v>
      </c>
      <c r="G163" s="122" t="s">
        <v>2392</v>
      </c>
      <c r="H163" s="122" t="s">
        <v>1349</v>
      </c>
    </row>
    <row r="164" spans="1:8" x14ac:dyDescent="0.2">
      <c r="A164" s="194"/>
      <c r="B164" s="199" t="s">
        <v>454</v>
      </c>
      <c r="C164" s="282" t="s">
        <v>572</v>
      </c>
      <c r="D164" s="122" t="s">
        <v>1892</v>
      </c>
      <c r="E164" s="122" t="s">
        <v>572</v>
      </c>
      <c r="F164" s="118" t="s">
        <v>1125</v>
      </c>
      <c r="G164" s="122" t="s">
        <v>793</v>
      </c>
      <c r="H164" s="122" t="s">
        <v>1350</v>
      </c>
    </row>
    <row r="165" spans="1:8" ht="25.5" x14ac:dyDescent="0.2">
      <c r="A165" s="194"/>
      <c r="B165" s="199" t="s">
        <v>343</v>
      </c>
      <c r="C165" s="282" t="s">
        <v>2415</v>
      </c>
      <c r="D165" s="122" t="s">
        <v>2416</v>
      </c>
      <c r="E165" s="122" t="s">
        <v>2415</v>
      </c>
      <c r="F165" s="118" t="s">
        <v>736</v>
      </c>
      <c r="G165" s="122" t="s">
        <v>2393</v>
      </c>
      <c r="H165" s="122" t="s">
        <v>1351</v>
      </c>
    </row>
    <row r="166" spans="1:8" x14ac:dyDescent="0.2">
      <c r="A166" s="194"/>
      <c r="B166" s="199" t="s">
        <v>455</v>
      </c>
      <c r="C166" s="282" t="s">
        <v>1927</v>
      </c>
      <c r="D166" s="122" t="s">
        <v>1847</v>
      </c>
      <c r="E166" s="122" t="s">
        <v>1927</v>
      </c>
      <c r="F166" s="118" t="s">
        <v>1126</v>
      </c>
      <c r="G166" s="122" t="s">
        <v>24</v>
      </c>
      <c r="H166" s="122" t="s">
        <v>1352</v>
      </c>
    </row>
    <row r="167" spans="1:8" ht="25.5" x14ac:dyDescent="0.2">
      <c r="A167" s="194"/>
      <c r="B167" s="199" t="s">
        <v>344</v>
      </c>
      <c r="C167" s="282" t="s">
        <v>1753</v>
      </c>
      <c r="D167" s="122" t="s">
        <v>1752</v>
      </c>
      <c r="E167" s="122" t="s">
        <v>1753</v>
      </c>
      <c r="F167" s="118" t="s">
        <v>737</v>
      </c>
      <c r="G167" s="122" t="s">
        <v>2394</v>
      </c>
      <c r="H167" s="122" t="s">
        <v>1353</v>
      </c>
    </row>
    <row r="168" spans="1:8" x14ac:dyDescent="0.2">
      <c r="A168" s="194"/>
      <c r="B168" s="199" t="s">
        <v>456</v>
      </c>
      <c r="C168" s="282" t="s">
        <v>2600</v>
      </c>
      <c r="D168" s="122" t="s">
        <v>1900</v>
      </c>
      <c r="E168" s="122" t="s">
        <v>2600</v>
      </c>
      <c r="F168" s="118" t="s">
        <v>1127</v>
      </c>
      <c r="G168" s="122" t="s">
        <v>1246</v>
      </c>
      <c r="H168" s="122" t="s">
        <v>1354</v>
      </c>
    </row>
    <row r="169" spans="1:8" ht="25.5" x14ac:dyDescent="0.2">
      <c r="A169" s="194"/>
      <c r="B169" s="199" t="s">
        <v>345</v>
      </c>
      <c r="C169" s="282" t="s">
        <v>1317</v>
      </c>
      <c r="D169" s="122" t="s">
        <v>1316</v>
      </c>
      <c r="E169" s="122" t="s">
        <v>1317</v>
      </c>
      <c r="F169" s="118" t="s">
        <v>738</v>
      </c>
      <c r="G169" s="122" t="s">
        <v>2395</v>
      </c>
      <c r="H169" s="122" t="s">
        <v>1355</v>
      </c>
    </row>
    <row r="170" spans="1:8" x14ac:dyDescent="0.2">
      <c r="A170" s="194"/>
      <c r="B170" s="199" t="s">
        <v>457</v>
      </c>
      <c r="C170" s="282" t="s">
        <v>2609</v>
      </c>
      <c r="D170" s="122" t="s">
        <v>1909</v>
      </c>
      <c r="E170" s="122" t="s">
        <v>2609</v>
      </c>
      <c r="F170" s="118" t="s">
        <v>1128</v>
      </c>
      <c r="G170" s="122" t="s">
        <v>1247</v>
      </c>
      <c r="H170" s="122" t="s">
        <v>1356</v>
      </c>
    </row>
    <row r="171" spans="1:8" ht="25.5" x14ac:dyDescent="0.2">
      <c r="A171" s="194"/>
      <c r="B171" s="199" t="s">
        <v>346</v>
      </c>
      <c r="C171" s="282" t="s">
        <v>1972</v>
      </c>
      <c r="D171" s="122" t="s">
        <v>1971</v>
      </c>
      <c r="E171" s="122" t="s">
        <v>1972</v>
      </c>
      <c r="F171" s="118" t="s">
        <v>739</v>
      </c>
      <c r="G171" s="122" t="s">
        <v>1158</v>
      </c>
      <c r="H171" s="122" t="s">
        <v>1357</v>
      </c>
    </row>
    <row r="172" spans="1:8" x14ac:dyDescent="0.2">
      <c r="A172" s="194"/>
      <c r="B172" s="199" t="s">
        <v>458</v>
      </c>
      <c r="C172" s="282" t="s">
        <v>1157</v>
      </c>
      <c r="D172" s="122" t="s">
        <v>1884</v>
      </c>
      <c r="E172" s="122" t="s">
        <v>1157</v>
      </c>
      <c r="F172" s="118" t="s">
        <v>1129</v>
      </c>
      <c r="G172" s="122" t="s">
        <v>1248</v>
      </c>
      <c r="H172" s="122" t="s">
        <v>1358</v>
      </c>
    </row>
    <row r="173" spans="1:8" ht="25.5" x14ac:dyDescent="0.2">
      <c r="A173" s="194"/>
      <c r="B173" s="199" t="s">
        <v>347</v>
      </c>
      <c r="C173" s="282" t="s">
        <v>79</v>
      </c>
      <c r="D173" s="122" t="s">
        <v>1989</v>
      </c>
      <c r="E173" s="122" t="s">
        <v>79</v>
      </c>
      <c r="F173" s="118" t="s">
        <v>740</v>
      </c>
      <c r="G173" s="122" t="s">
        <v>1523</v>
      </c>
      <c r="H173" s="122" t="s">
        <v>2571</v>
      </c>
    </row>
    <row r="174" spans="1:8" x14ac:dyDescent="0.2">
      <c r="A174" s="194"/>
      <c r="B174" s="199" t="s">
        <v>459</v>
      </c>
      <c r="C174" s="282" t="s">
        <v>573</v>
      </c>
      <c r="D174" s="122" t="s">
        <v>1893</v>
      </c>
      <c r="E174" s="122" t="s">
        <v>573</v>
      </c>
      <c r="F174" s="118" t="s">
        <v>1130</v>
      </c>
      <c r="G174" s="122" t="s">
        <v>1249</v>
      </c>
      <c r="H174" s="122" t="s">
        <v>2572</v>
      </c>
    </row>
    <row r="175" spans="1:8" ht="25.5" x14ac:dyDescent="0.2">
      <c r="A175" s="194"/>
      <c r="B175" s="199" t="s">
        <v>348</v>
      </c>
      <c r="C175" s="282" t="s">
        <v>2418</v>
      </c>
      <c r="D175" s="122" t="s">
        <v>2419</v>
      </c>
      <c r="E175" s="122" t="s">
        <v>2418</v>
      </c>
      <c r="F175" s="118" t="s">
        <v>741</v>
      </c>
      <c r="G175" s="122" t="s">
        <v>1524</v>
      </c>
      <c r="H175" s="122" t="s">
        <v>2573</v>
      </c>
    </row>
    <row r="176" spans="1:8" x14ac:dyDescent="0.2">
      <c r="A176" s="194"/>
      <c r="B176" s="199" t="s">
        <v>460</v>
      </c>
      <c r="C176" s="282" t="s">
        <v>1928</v>
      </c>
      <c r="D176" s="122" t="s">
        <v>1848</v>
      </c>
      <c r="E176" s="122" t="s">
        <v>1928</v>
      </c>
      <c r="F176" s="118" t="s">
        <v>1131</v>
      </c>
      <c r="G176" s="122" t="s">
        <v>1250</v>
      </c>
      <c r="H176" s="122" t="s">
        <v>2289</v>
      </c>
    </row>
    <row r="177" spans="1:8" ht="25.5" x14ac:dyDescent="0.2">
      <c r="A177" s="194"/>
      <c r="B177" s="199" t="s">
        <v>349</v>
      </c>
      <c r="C177" s="282" t="s">
        <v>2400</v>
      </c>
      <c r="D177" s="122" t="s">
        <v>2399</v>
      </c>
      <c r="E177" s="122" t="s">
        <v>2400</v>
      </c>
      <c r="F177" s="118" t="s">
        <v>742</v>
      </c>
      <c r="G177" s="122" t="s">
        <v>1525</v>
      </c>
      <c r="H177" s="122" t="s">
        <v>2290</v>
      </c>
    </row>
    <row r="178" spans="1:8" x14ac:dyDescent="0.2">
      <c r="A178" s="194"/>
      <c r="B178" s="199" t="s">
        <v>461</v>
      </c>
      <c r="C178" s="282" t="s">
        <v>2601</v>
      </c>
      <c r="D178" s="122" t="s">
        <v>1901</v>
      </c>
      <c r="E178" s="122" t="s">
        <v>2601</v>
      </c>
      <c r="F178" s="118" t="s">
        <v>1132</v>
      </c>
      <c r="G178" s="122" t="s">
        <v>1251</v>
      </c>
      <c r="H178" s="122" t="s">
        <v>1424</v>
      </c>
    </row>
    <row r="179" spans="1:8" ht="25.5" x14ac:dyDescent="0.2">
      <c r="A179" s="194"/>
      <c r="B179" s="199" t="s">
        <v>350</v>
      </c>
      <c r="C179" s="282" t="s">
        <v>1319</v>
      </c>
      <c r="D179" s="122" t="s">
        <v>1318</v>
      </c>
      <c r="E179" s="122" t="s">
        <v>1319</v>
      </c>
      <c r="F179" s="118" t="s">
        <v>743</v>
      </c>
      <c r="G179" s="122" t="s">
        <v>1526</v>
      </c>
      <c r="H179" s="122" t="s">
        <v>1425</v>
      </c>
    </row>
    <row r="180" spans="1:8" x14ac:dyDescent="0.2">
      <c r="A180" s="194"/>
      <c r="B180" s="199" t="s">
        <v>462</v>
      </c>
      <c r="C180" s="282" t="s">
        <v>2610</v>
      </c>
      <c r="D180" s="122" t="s">
        <v>1910</v>
      </c>
      <c r="E180" s="122" t="s">
        <v>2610</v>
      </c>
      <c r="F180" s="118" t="s">
        <v>1133</v>
      </c>
      <c r="G180" s="122" t="s">
        <v>1252</v>
      </c>
      <c r="H180" s="122" t="s">
        <v>1426</v>
      </c>
    </row>
    <row r="181" spans="1:8" ht="25.5" x14ac:dyDescent="0.2">
      <c r="A181" s="194"/>
      <c r="B181" s="199" t="s">
        <v>351</v>
      </c>
      <c r="C181" s="282" t="s">
        <v>1974</v>
      </c>
      <c r="D181" s="122" t="s">
        <v>1973</v>
      </c>
      <c r="E181" s="122" t="s">
        <v>1974</v>
      </c>
      <c r="F181" s="118" t="s">
        <v>744</v>
      </c>
      <c r="G181" s="122" t="s">
        <v>1527</v>
      </c>
      <c r="H181" s="122" t="s">
        <v>1427</v>
      </c>
    </row>
    <row r="182" spans="1:8" x14ac:dyDescent="0.2">
      <c r="A182" s="194"/>
      <c r="B182" s="199" t="s">
        <v>463</v>
      </c>
      <c r="C182" s="282" t="s">
        <v>179</v>
      </c>
      <c r="D182" s="122" t="s">
        <v>1885</v>
      </c>
      <c r="E182" s="122" t="s">
        <v>179</v>
      </c>
      <c r="F182" s="118" t="s">
        <v>1134</v>
      </c>
      <c r="G182" s="122" t="s">
        <v>1253</v>
      </c>
      <c r="H182" s="122" t="s">
        <v>1428</v>
      </c>
    </row>
    <row r="183" spans="1:8" ht="25.5" x14ac:dyDescent="0.2">
      <c r="A183" s="194"/>
      <c r="B183" s="199" t="s">
        <v>352</v>
      </c>
      <c r="C183" s="282" t="s">
        <v>1240</v>
      </c>
      <c r="D183" s="122" t="s">
        <v>1241</v>
      </c>
      <c r="E183" s="122" t="s">
        <v>1240</v>
      </c>
      <c r="F183" s="118" t="s">
        <v>745</v>
      </c>
      <c r="G183" s="122" t="s">
        <v>1528</v>
      </c>
      <c r="H183" s="122" t="s">
        <v>1429</v>
      </c>
    </row>
    <row r="184" spans="1:8" x14ac:dyDescent="0.2">
      <c r="A184" s="194"/>
      <c r="B184" s="199" t="s">
        <v>464</v>
      </c>
      <c r="C184" s="282" t="s">
        <v>1929</v>
      </c>
      <c r="D184" s="122" t="s">
        <v>1849</v>
      </c>
      <c r="E184" s="122" t="s">
        <v>1929</v>
      </c>
      <c r="F184" s="118" t="s">
        <v>1135</v>
      </c>
      <c r="G184" s="122" t="s">
        <v>1254</v>
      </c>
      <c r="H184" s="122" t="s">
        <v>1430</v>
      </c>
    </row>
    <row r="185" spans="1:8" ht="25.5" x14ac:dyDescent="0.2">
      <c r="A185" s="194"/>
      <c r="B185" s="199" t="s">
        <v>353</v>
      </c>
      <c r="C185" s="282" t="s">
        <v>1303</v>
      </c>
      <c r="D185" s="122" t="s">
        <v>1302</v>
      </c>
      <c r="E185" s="122" t="s">
        <v>1303</v>
      </c>
      <c r="F185" s="118" t="s">
        <v>746</v>
      </c>
      <c r="G185" s="122" t="s">
        <v>1529</v>
      </c>
      <c r="H185" s="122" t="s">
        <v>1431</v>
      </c>
    </row>
    <row r="186" spans="1:8" x14ac:dyDescent="0.2">
      <c r="A186" s="194"/>
      <c r="B186" s="199" t="s">
        <v>465</v>
      </c>
      <c r="C186" s="282" t="s">
        <v>2602</v>
      </c>
      <c r="D186" s="122" t="s">
        <v>1902</v>
      </c>
      <c r="E186" s="122" t="s">
        <v>2602</v>
      </c>
      <c r="F186" s="118" t="s">
        <v>1136</v>
      </c>
      <c r="G186" s="122" t="s">
        <v>1255</v>
      </c>
      <c r="H186" s="122" t="s">
        <v>1432</v>
      </c>
    </row>
    <row r="187" spans="1:8" ht="25.5" x14ac:dyDescent="0.2">
      <c r="A187" s="194"/>
      <c r="B187" s="199" t="s">
        <v>354</v>
      </c>
      <c r="C187" s="282" t="s">
        <v>2688</v>
      </c>
      <c r="D187" s="122" t="s">
        <v>1320</v>
      </c>
      <c r="E187" s="122" t="s">
        <v>2688</v>
      </c>
      <c r="F187" s="118" t="s">
        <v>747</v>
      </c>
      <c r="G187" s="122" t="s">
        <v>1530</v>
      </c>
      <c r="H187" s="122" t="s">
        <v>1433</v>
      </c>
    </row>
    <row r="188" spans="1:8" x14ac:dyDescent="0.2">
      <c r="A188" s="194"/>
      <c r="B188" s="199" t="s">
        <v>466</v>
      </c>
      <c r="C188" s="282" t="s">
        <v>2611</v>
      </c>
      <c r="D188" s="122" t="s">
        <v>1911</v>
      </c>
      <c r="E188" s="122" t="s">
        <v>2611</v>
      </c>
      <c r="F188" s="118" t="s">
        <v>1137</v>
      </c>
      <c r="G188" s="122" t="s">
        <v>1256</v>
      </c>
      <c r="H188" s="122" t="s">
        <v>1434</v>
      </c>
    </row>
    <row r="189" spans="1:8" ht="25.5" x14ac:dyDescent="0.2">
      <c r="A189" s="194"/>
      <c r="B189" s="199" t="s">
        <v>355</v>
      </c>
      <c r="C189" s="282" t="s">
        <v>81</v>
      </c>
      <c r="D189" s="122" t="s">
        <v>80</v>
      </c>
      <c r="E189" s="122" t="s">
        <v>81</v>
      </c>
      <c r="F189" s="118" t="s">
        <v>748</v>
      </c>
      <c r="G189" s="122" t="s">
        <v>1531</v>
      </c>
      <c r="H189" s="122" t="s">
        <v>1435</v>
      </c>
    </row>
    <row r="190" spans="1:8" x14ac:dyDescent="0.2">
      <c r="A190" s="194"/>
      <c r="B190" s="199" t="s">
        <v>467</v>
      </c>
      <c r="C190" s="282" t="s">
        <v>574</v>
      </c>
      <c r="D190" s="122" t="s">
        <v>1894</v>
      </c>
      <c r="E190" s="122" t="s">
        <v>574</v>
      </c>
      <c r="F190" s="118" t="s">
        <v>1138</v>
      </c>
      <c r="G190" s="122" t="s">
        <v>1257</v>
      </c>
      <c r="H190" s="122" t="s">
        <v>1436</v>
      </c>
    </row>
    <row r="191" spans="1:8" ht="25.5" x14ac:dyDescent="0.2">
      <c r="A191" s="194"/>
      <c r="B191" s="199" t="s">
        <v>356</v>
      </c>
      <c r="C191" s="282" t="s">
        <v>2421</v>
      </c>
      <c r="D191" s="122" t="s">
        <v>2422</v>
      </c>
      <c r="E191" s="122" t="s">
        <v>2421</v>
      </c>
      <c r="F191" s="118" t="s">
        <v>749</v>
      </c>
      <c r="G191" s="122" t="s">
        <v>1532</v>
      </c>
      <c r="H191" s="122" t="s">
        <v>1437</v>
      </c>
    </row>
    <row r="192" spans="1:8" x14ac:dyDescent="0.2">
      <c r="A192" s="194"/>
      <c r="B192" s="199" t="s">
        <v>468</v>
      </c>
      <c r="C192" s="282" t="s">
        <v>1930</v>
      </c>
      <c r="D192" s="122" t="s">
        <v>1362</v>
      </c>
      <c r="E192" s="122" t="s">
        <v>1930</v>
      </c>
      <c r="F192" s="118" t="s">
        <v>1139</v>
      </c>
      <c r="G192" s="122" t="s">
        <v>1258</v>
      </c>
      <c r="H192" s="122" t="s">
        <v>1438</v>
      </c>
    </row>
    <row r="193" spans="1:8" ht="25.5" x14ac:dyDescent="0.2">
      <c r="A193" s="194"/>
      <c r="B193" s="199" t="s">
        <v>357</v>
      </c>
      <c r="C193" s="282" t="s">
        <v>1305</v>
      </c>
      <c r="D193" s="122" t="s">
        <v>1304</v>
      </c>
      <c r="E193" s="122" t="s">
        <v>1305</v>
      </c>
      <c r="F193" s="118" t="s">
        <v>750</v>
      </c>
      <c r="G193" s="122" t="s">
        <v>1533</v>
      </c>
      <c r="H193" s="122" t="s">
        <v>1439</v>
      </c>
    </row>
    <row r="194" spans="1:8" x14ac:dyDescent="0.2">
      <c r="A194" s="194"/>
      <c r="B194" s="199" t="s">
        <v>469</v>
      </c>
      <c r="C194" s="282" t="s">
        <v>2603</v>
      </c>
      <c r="D194" s="122" t="s">
        <v>1903</v>
      </c>
      <c r="E194" s="122" t="s">
        <v>2603</v>
      </c>
      <c r="F194" s="118" t="s">
        <v>1140</v>
      </c>
      <c r="G194" s="122" t="s">
        <v>1259</v>
      </c>
      <c r="H194" s="122" t="s">
        <v>1440</v>
      </c>
    </row>
    <row r="195" spans="1:8" ht="25.5" x14ac:dyDescent="0.2">
      <c r="A195" s="194"/>
      <c r="B195" s="199" t="s">
        <v>358</v>
      </c>
      <c r="C195" s="282" t="s">
        <v>2690</v>
      </c>
      <c r="D195" s="122" t="s">
        <v>2689</v>
      </c>
      <c r="E195" s="122" t="s">
        <v>2690</v>
      </c>
      <c r="F195" s="118" t="s">
        <v>751</v>
      </c>
      <c r="G195" s="122" t="s">
        <v>659</v>
      </c>
      <c r="H195" s="122" t="s">
        <v>1441</v>
      </c>
    </row>
    <row r="196" spans="1:8" x14ac:dyDescent="0.2">
      <c r="A196" s="194"/>
      <c r="B196" s="199" t="s">
        <v>470</v>
      </c>
      <c r="C196" s="282" t="s">
        <v>2612</v>
      </c>
      <c r="D196" s="122" t="s">
        <v>1912</v>
      </c>
      <c r="E196" s="122" t="s">
        <v>2612</v>
      </c>
      <c r="F196" s="118" t="s">
        <v>1141</v>
      </c>
      <c r="G196" s="122" t="s">
        <v>1260</v>
      </c>
      <c r="H196" s="122" t="s">
        <v>1442</v>
      </c>
    </row>
    <row r="197" spans="1:8" ht="25.5" x14ac:dyDescent="0.2">
      <c r="A197" s="194"/>
      <c r="B197" s="199" t="s">
        <v>359</v>
      </c>
      <c r="C197" s="282" t="s">
        <v>1976</v>
      </c>
      <c r="D197" s="122" t="s">
        <v>1975</v>
      </c>
      <c r="E197" s="122" t="s">
        <v>1976</v>
      </c>
      <c r="F197" s="118" t="s">
        <v>752</v>
      </c>
      <c r="G197" s="122" t="s">
        <v>660</v>
      </c>
      <c r="H197" s="122" t="s">
        <v>1443</v>
      </c>
    </row>
    <row r="198" spans="1:8" x14ac:dyDescent="0.2">
      <c r="A198" s="194"/>
      <c r="B198" s="199" t="s">
        <v>471</v>
      </c>
      <c r="C198" s="282" t="s">
        <v>180</v>
      </c>
      <c r="D198" s="122" t="s">
        <v>1886</v>
      </c>
      <c r="E198" s="122" t="s">
        <v>180</v>
      </c>
      <c r="F198" s="118" t="s">
        <v>1142</v>
      </c>
      <c r="G198" s="122" t="s">
        <v>1261</v>
      </c>
      <c r="H198" s="122" t="s">
        <v>1444</v>
      </c>
    </row>
    <row r="199" spans="1:8" ht="25.5" x14ac:dyDescent="0.2">
      <c r="A199" s="194"/>
      <c r="B199" s="199" t="s">
        <v>360</v>
      </c>
      <c r="C199" s="282" t="s">
        <v>83</v>
      </c>
      <c r="D199" s="122" t="s">
        <v>82</v>
      </c>
      <c r="E199" s="122" t="s">
        <v>83</v>
      </c>
      <c r="F199" s="118" t="s">
        <v>753</v>
      </c>
      <c r="G199" s="122" t="s">
        <v>661</v>
      </c>
      <c r="H199" s="122" t="s">
        <v>1445</v>
      </c>
    </row>
    <row r="200" spans="1:8" x14ac:dyDescent="0.2">
      <c r="A200" s="194"/>
      <c r="B200" s="199" t="s">
        <v>472</v>
      </c>
      <c r="C200" s="282" t="s">
        <v>575</v>
      </c>
      <c r="D200" s="122" t="s">
        <v>1895</v>
      </c>
      <c r="E200" s="122" t="s">
        <v>575</v>
      </c>
      <c r="F200" s="118" t="s">
        <v>1143</v>
      </c>
      <c r="G200" s="122" t="s">
        <v>1262</v>
      </c>
      <c r="H200" s="122" t="s">
        <v>1446</v>
      </c>
    </row>
    <row r="201" spans="1:8" ht="25.5" x14ac:dyDescent="0.2">
      <c r="A201" s="194"/>
      <c r="B201" s="199" t="s">
        <v>361</v>
      </c>
      <c r="C201" s="282" t="s">
        <v>2424</v>
      </c>
      <c r="D201" s="122" t="s">
        <v>2425</v>
      </c>
      <c r="E201" s="122" t="s">
        <v>2424</v>
      </c>
      <c r="F201" s="118" t="s">
        <v>754</v>
      </c>
      <c r="G201" s="122" t="s">
        <v>662</v>
      </c>
      <c r="H201" s="122" t="s">
        <v>1447</v>
      </c>
    </row>
    <row r="202" spans="1:8" x14ac:dyDescent="0.2">
      <c r="A202" s="194"/>
      <c r="B202" s="199" t="s">
        <v>473</v>
      </c>
      <c r="C202" s="282" t="s">
        <v>1151</v>
      </c>
      <c r="D202" s="122" t="s">
        <v>1363</v>
      </c>
      <c r="E202" s="122" t="s">
        <v>1151</v>
      </c>
      <c r="F202" s="118" t="s">
        <v>1144</v>
      </c>
      <c r="G202" s="122" t="s">
        <v>1263</v>
      </c>
      <c r="H202" s="122" t="s">
        <v>1448</v>
      </c>
    </row>
    <row r="203" spans="1:8" ht="25.5" x14ac:dyDescent="0.2">
      <c r="A203" s="194"/>
      <c r="B203" s="199" t="s">
        <v>362</v>
      </c>
      <c r="C203" s="282" t="s">
        <v>1307</v>
      </c>
      <c r="D203" s="122" t="s">
        <v>1306</v>
      </c>
      <c r="E203" s="122" t="s">
        <v>1307</v>
      </c>
      <c r="F203" s="118" t="s">
        <v>755</v>
      </c>
      <c r="G203" s="122" t="s">
        <v>663</v>
      </c>
      <c r="H203" s="122" t="s">
        <v>1449</v>
      </c>
    </row>
    <row r="204" spans="1:8" x14ac:dyDescent="0.2">
      <c r="A204" s="194"/>
      <c r="B204" s="199" t="s">
        <v>474</v>
      </c>
      <c r="C204" s="282" t="s">
        <v>2604</v>
      </c>
      <c r="D204" s="122" t="s">
        <v>1904</v>
      </c>
      <c r="E204" s="122" t="s">
        <v>2604</v>
      </c>
      <c r="F204" s="118" t="s">
        <v>1145</v>
      </c>
      <c r="G204" s="122" t="s">
        <v>1264</v>
      </c>
      <c r="H204" s="122" t="s">
        <v>1450</v>
      </c>
    </row>
    <row r="205" spans="1:8" ht="25.5" x14ac:dyDescent="0.2">
      <c r="A205" s="194"/>
      <c r="B205" s="199" t="s">
        <v>363</v>
      </c>
      <c r="C205" s="282" t="s">
        <v>2692</v>
      </c>
      <c r="D205" s="122" t="s">
        <v>2691</v>
      </c>
      <c r="E205" s="122" t="s">
        <v>2692</v>
      </c>
      <c r="F205" s="118" t="s">
        <v>756</v>
      </c>
      <c r="G205" s="122" t="s">
        <v>21</v>
      </c>
      <c r="H205" s="122" t="s">
        <v>1451</v>
      </c>
    </row>
    <row r="206" spans="1:8" x14ac:dyDescent="0.2">
      <c r="A206" s="194"/>
      <c r="B206" s="199" t="s">
        <v>475</v>
      </c>
      <c r="C206" s="282" t="s">
        <v>2613</v>
      </c>
      <c r="D206" s="122" t="s">
        <v>1913</v>
      </c>
      <c r="E206" s="122" t="s">
        <v>2613</v>
      </c>
      <c r="F206" s="118" t="s">
        <v>1146</v>
      </c>
      <c r="G206" s="122" t="s">
        <v>1265</v>
      </c>
      <c r="H206" s="122" t="s">
        <v>1452</v>
      </c>
    </row>
    <row r="207" spans="1:8" ht="25.5" x14ac:dyDescent="0.2">
      <c r="A207" s="194"/>
      <c r="B207" s="199" t="s">
        <v>364</v>
      </c>
      <c r="C207" s="282" t="s">
        <v>1978</v>
      </c>
      <c r="D207" s="122" t="s">
        <v>1977</v>
      </c>
      <c r="E207" s="122" t="s">
        <v>1978</v>
      </c>
      <c r="F207" s="118" t="s">
        <v>757</v>
      </c>
      <c r="G207" s="122" t="s">
        <v>22</v>
      </c>
      <c r="H207" s="122" t="s">
        <v>1453</v>
      </c>
    </row>
    <row r="208" spans="1:8" x14ac:dyDescent="0.2">
      <c r="A208" s="194"/>
      <c r="B208" s="199" t="s">
        <v>476</v>
      </c>
      <c r="C208" s="282" t="s">
        <v>181</v>
      </c>
      <c r="D208" s="122" t="s">
        <v>1887</v>
      </c>
      <c r="E208" s="122" t="s">
        <v>181</v>
      </c>
      <c r="F208" s="118" t="s">
        <v>1147</v>
      </c>
      <c r="G208" s="122" t="s">
        <v>1266</v>
      </c>
      <c r="H208" s="122" t="s">
        <v>1454</v>
      </c>
    </row>
    <row r="209" spans="1:8" ht="25.5" x14ac:dyDescent="0.2">
      <c r="A209" s="194"/>
      <c r="B209" s="199" t="s">
        <v>365</v>
      </c>
      <c r="C209" s="282" t="s">
        <v>85</v>
      </c>
      <c r="D209" s="122" t="s">
        <v>84</v>
      </c>
      <c r="E209" s="122" t="s">
        <v>85</v>
      </c>
      <c r="F209" s="118" t="s">
        <v>758</v>
      </c>
      <c r="G209" s="122" t="s">
        <v>1650</v>
      </c>
      <c r="H209" s="122" t="s">
        <v>1455</v>
      </c>
    </row>
    <row r="210" spans="1:8" x14ac:dyDescent="0.2">
      <c r="A210" s="194"/>
      <c r="B210" s="199" t="s">
        <v>477</v>
      </c>
      <c r="C210" s="282" t="s">
        <v>576</v>
      </c>
      <c r="D210" s="122" t="s">
        <v>1896</v>
      </c>
      <c r="E210" s="122" t="s">
        <v>576</v>
      </c>
      <c r="F210" s="118" t="s">
        <v>1148</v>
      </c>
      <c r="G210" s="122" t="s">
        <v>1267</v>
      </c>
      <c r="H210" s="122" t="s">
        <v>1456</v>
      </c>
    </row>
    <row r="211" spans="1:8" ht="25.5" x14ac:dyDescent="0.2">
      <c r="A211" s="194"/>
      <c r="B211" s="199" t="s">
        <v>366</v>
      </c>
      <c r="C211" s="282" t="s">
        <v>1728</v>
      </c>
      <c r="D211" s="122" t="s">
        <v>1729</v>
      </c>
      <c r="E211" s="122" t="s">
        <v>1728</v>
      </c>
      <c r="F211" s="118" t="s">
        <v>759</v>
      </c>
      <c r="G211" s="122" t="s">
        <v>1651</v>
      </c>
      <c r="H211" s="122" t="s">
        <v>1457</v>
      </c>
    </row>
    <row r="212" spans="1:8" x14ac:dyDescent="0.2">
      <c r="A212" s="194"/>
      <c r="B212" s="199" t="s">
        <v>478</v>
      </c>
      <c r="C212" s="282" t="s">
        <v>1152</v>
      </c>
      <c r="D212" s="122" t="s">
        <v>1364</v>
      </c>
      <c r="E212" s="122" t="s">
        <v>1152</v>
      </c>
      <c r="F212" s="118" t="s">
        <v>1149</v>
      </c>
      <c r="G212" s="122" t="s">
        <v>1268</v>
      </c>
      <c r="H212" s="122" t="s">
        <v>1458</v>
      </c>
    </row>
    <row r="213" spans="1:8" ht="25.5" x14ac:dyDescent="0.2">
      <c r="A213" s="194"/>
      <c r="B213" s="199" t="s">
        <v>367</v>
      </c>
      <c r="C213" s="282" t="s">
        <v>1309</v>
      </c>
      <c r="D213" s="122" t="s">
        <v>1308</v>
      </c>
      <c r="E213" s="122" t="s">
        <v>1309</v>
      </c>
      <c r="F213" s="118" t="s">
        <v>760</v>
      </c>
      <c r="G213" s="122" t="s">
        <v>1652</v>
      </c>
      <c r="H213" s="122" t="s">
        <v>1459</v>
      </c>
    </row>
    <row r="214" spans="1:8" x14ac:dyDescent="0.2">
      <c r="A214" s="194"/>
      <c r="B214" s="199" t="s">
        <v>479</v>
      </c>
      <c r="C214" s="282" t="s">
        <v>2605</v>
      </c>
      <c r="D214" s="122" t="s">
        <v>1905</v>
      </c>
      <c r="E214" s="122" t="s">
        <v>2605</v>
      </c>
      <c r="F214" s="118" t="s">
        <v>1150</v>
      </c>
      <c r="G214" s="122" t="s">
        <v>1269</v>
      </c>
      <c r="H214" s="122" t="s">
        <v>1460</v>
      </c>
    </row>
    <row r="215" spans="1:8" ht="25.5" x14ac:dyDescent="0.2">
      <c r="A215" s="194"/>
      <c r="B215" s="199" t="s">
        <v>368</v>
      </c>
      <c r="C215" s="282" t="s">
        <v>2694</v>
      </c>
      <c r="D215" s="122" t="s">
        <v>2693</v>
      </c>
      <c r="E215" s="122" t="s">
        <v>2694</v>
      </c>
      <c r="F215" s="118" t="s">
        <v>761</v>
      </c>
      <c r="G215" s="122" t="s">
        <v>1653</v>
      </c>
      <c r="H215" s="122" t="s">
        <v>1461</v>
      </c>
    </row>
    <row r="216" spans="1:8" x14ac:dyDescent="0.2">
      <c r="A216" s="194"/>
      <c r="B216" s="199" t="s">
        <v>480</v>
      </c>
      <c r="C216" s="282" t="s">
        <v>2614</v>
      </c>
      <c r="D216" s="122" t="s">
        <v>1914</v>
      </c>
      <c r="E216" s="122" t="s">
        <v>2614</v>
      </c>
      <c r="F216" s="118" t="s">
        <v>168</v>
      </c>
      <c r="G216" s="122" t="s">
        <v>1270</v>
      </c>
      <c r="H216" s="122" t="s">
        <v>1462</v>
      </c>
    </row>
    <row r="217" spans="1:8" ht="25.5" x14ac:dyDescent="0.2">
      <c r="A217" s="194"/>
      <c r="B217" s="199" t="s">
        <v>369</v>
      </c>
      <c r="C217" s="282" t="s">
        <v>1980</v>
      </c>
      <c r="D217" s="122" t="s">
        <v>1979</v>
      </c>
      <c r="E217" s="122" t="s">
        <v>1980</v>
      </c>
      <c r="F217" s="118" t="s">
        <v>762</v>
      </c>
      <c r="G217" s="122" t="s">
        <v>1654</v>
      </c>
      <c r="H217" s="122" t="s">
        <v>1463</v>
      </c>
    </row>
    <row r="218" spans="1:8" x14ac:dyDescent="0.2">
      <c r="A218" s="194"/>
      <c r="B218" s="199" t="s">
        <v>481</v>
      </c>
      <c r="C218" s="282" t="s">
        <v>568</v>
      </c>
      <c r="D218" s="122" t="s">
        <v>1888</v>
      </c>
      <c r="E218" s="122" t="s">
        <v>568</v>
      </c>
      <c r="F218" s="118" t="s">
        <v>169</v>
      </c>
      <c r="G218" s="122" t="s">
        <v>1271</v>
      </c>
      <c r="H218" s="122" t="s">
        <v>1464</v>
      </c>
    </row>
    <row r="219" spans="1:8" ht="25.5" x14ac:dyDescent="0.2">
      <c r="A219" s="194"/>
      <c r="B219" s="199" t="s">
        <v>370</v>
      </c>
      <c r="C219" s="282" t="s">
        <v>1731</v>
      </c>
      <c r="D219" s="122" t="s">
        <v>1732</v>
      </c>
      <c r="E219" s="122" t="s">
        <v>1731</v>
      </c>
      <c r="F219" s="118" t="s">
        <v>763</v>
      </c>
      <c r="G219" s="122" t="s">
        <v>1655</v>
      </c>
      <c r="H219" s="122" t="s">
        <v>1465</v>
      </c>
    </row>
    <row r="220" spans="1:8" x14ac:dyDescent="0.2">
      <c r="A220" s="194"/>
      <c r="B220" s="199" t="s">
        <v>482</v>
      </c>
      <c r="C220" s="282" t="s">
        <v>1153</v>
      </c>
      <c r="D220" s="122" t="s">
        <v>1365</v>
      </c>
      <c r="E220" s="122" t="s">
        <v>1153</v>
      </c>
      <c r="F220" s="118" t="s">
        <v>170</v>
      </c>
      <c r="G220" s="122" t="s">
        <v>1272</v>
      </c>
      <c r="H220" s="122" t="s">
        <v>1466</v>
      </c>
    </row>
    <row r="221" spans="1:8" ht="25.5" x14ac:dyDescent="0.2">
      <c r="A221" s="194"/>
      <c r="B221" s="199" t="s">
        <v>371</v>
      </c>
      <c r="C221" s="282" t="s">
        <v>1311</v>
      </c>
      <c r="D221" s="122" t="s">
        <v>1310</v>
      </c>
      <c r="E221" s="122" t="s">
        <v>1311</v>
      </c>
      <c r="F221" s="118" t="s">
        <v>764</v>
      </c>
      <c r="G221" s="122" t="s">
        <v>1656</v>
      </c>
      <c r="H221" s="122" t="s">
        <v>1467</v>
      </c>
    </row>
    <row r="222" spans="1:8" x14ac:dyDescent="0.2">
      <c r="A222" s="194"/>
      <c r="B222" s="199" t="s">
        <v>483</v>
      </c>
      <c r="C222" s="282" t="s">
        <v>2606</v>
      </c>
      <c r="D222" s="122" t="s">
        <v>1906</v>
      </c>
      <c r="E222" s="122" t="s">
        <v>2606</v>
      </c>
      <c r="F222" s="118" t="s">
        <v>171</v>
      </c>
      <c r="G222" s="122" t="s">
        <v>1273</v>
      </c>
      <c r="H222" s="122" t="s">
        <v>1468</v>
      </c>
    </row>
    <row r="223" spans="1:8" ht="25.5" x14ac:dyDescent="0.2">
      <c r="A223" s="194"/>
      <c r="B223" s="199" t="s">
        <v>372</v>
      </c>
      <c r="C223" s="282" t="s">
        <v>2696</v>
      </c>
      <c r="D223" s="122" t="s">
        <v>2695</v>
      </c>
      <c r="E223" s="122" t="s">
        <v>2696</v>
      </c>
      <c r="F223" s="118" t="s">
        <v>765</v>
      </c>
      <c r="G223" s="122" t="s">
        <v>1657</v>
      </c>
      <c r="H223" s="122" t="s">
        <v>1469</v>
      </c>
    </row>
    <row r="224" spans="1:8" x14ac:dyDescent="0.2">
      <c r="A224" s="194"/>
      <c r="B224" s="199" t="s">
        <v>484</v>
      </c>
      <c r="C224" s="282" t="s">
        <v>2615</v>
      </c>
      <c r="D224" s="122" t="s">
        <v>1915</v>
      </c>
      <c r="E224" s="122" t="s">
        <v>2615</v>
      </c>
      <c r="F224" s="118" t="s">
        <v>172</v>
      </c>
      <c r="G224" s="122" t="s">
        <v>1274</v>
      </c>
      <c r="H224" s="122" t="s">
        <v>562</v>
      </c>
    </row>
    <row r="225" spans="1:8" x14ac:dyDescent="0.2">
      <c r="A225" s="194"/>
      <c r="B225" s="199" t="s">
        <v>373</v>
      </c>
      <c r="C225" s="282" t="s">
        <v>726</v>
      </c>
      <c r="D225" s="122" t="s">
        <v>633</v>
      </c>
      <c r="E225" s="122" t="s">
        <v>726</v>
      </c>
      <c r="F225" s="118" t="s">
        <v>173</v>
      </c>
      <c r="G225" s="122" t="s">
        <v>1658</v>
      </c>
      <c r="H225" s="122" t="s">
        <v>563</v>
      </c>
    </row>
    <row r="226" spans="1:8" x14ac:dyDescent="0.2">
      <c r="A226" s="194"/>
      <c r="B226" s="199" t="s">
        <v>485</v>
      </c>
      <c r="C226" s="282" t="s">
        <v>1487</v>
      </c>
      <c r="D226" s="122" t="s">
        <v>1711</v>
      </c>
      <c r="E226" s="122" t="s">
        <v>1487</v>
      </c>
      <c r="F226" s="118" t="s">
        <v>174</v>
      </c>
      <c r="G226" s="122" t="s">
        <v>1275</v>
      </c>
      <c r="H226" s="122" t="s">
        <v>564</v>
      </c>
    </row>
    <row r="227" spans="1:8" x14ac:dyDescent="0.2">
      <c r="A227" s="194"/>
      <c r="B227" s="199" t="s">
        <v>374</v>
      </c>
      <c r="C227" s="282" t="s">
        <v>1332</v>
      </c>
      <c r="D227" s="122" t="s">
        <v>637</v>
      </c>
      <c r="E227" s="122" t="s">
        <v>1332</v>
      </c>
      <c r="F227" s="118" t="s">
        <v>175</v>
      </c>
      <c r="G227" s="122" t="s">
        <v>1659</v>
      </c>
      <c r="H227" s="122" t="s">
        <v>565</v>
      </c>
    </row>
    <row r="228" spans="1:8" x14ac:dyDescent="0.2">
      <c r="A228" s="194"/>
      <c r="B228" s="199" t="s">
        <v>486</v>
      </c>
      <c r="C228" s="282" t="s">
        <v>1491</v>
      </c>
      <c r="D228" s="122" t="s">
        <v>1715</v>
      </c>
      <c r="E228" s="122" t="s">
        <v>1491</v>
      </c>
      <c r="F228" s="118" t="s">
        <v>176</v>
      </c>
      <c r="G228" s="122" t="s">
        <v>264</v>
      </c>
      <c r="H228" s="122" t="s">
        <v>566</v>
      </c>
    </row>
    <row r="229" spans="1:8" x14ac:dyDescent="0.2">
      <c r="A229" s="194"/>
      <c r="B229" s="199" t="s">
        <v>375</v>
      </c>
      <c r="C229" s="282" t="s">
        <v>729</v>
      </c>
      <c r="D229" s="122" t="s">
        <v>634</v>
      </c>
      <c r="E229" s="122" t="s">
        <v>729</v>
      </c>
      <c r="F229" s="118" t="s">
        <v>177</v>
      </c>
      <c r="G229" s="122" t="s">
        <v>1660</v>
      </c>
      <c r="H229" s="122" t="s">
        <v>567</v>
      </c>
    </row>
    <row r="230" spans="1:8" x14ac:dyDescent="0.2">
      <c r="A230" s="194"/>
      <c r="B230" s="199" t="s">
        <v>487</v>
      </c>
      <c r="C230" s="282" t="s">
        <v>1488</v>
      </c>
      <c r="D230" s="122" t="s">
        <v>1712</v>
      </c>
      <c r="E230" s="122" t="s">
        <v>1488</v>
      </c>
      <c r="F230" s="118" t="s">
        <v>178</v>
      </c>
      <c r="G230" s="122" t="s">
        <v>265</v>
      </c>
      <c r="H230" s="122" t="s">
        <v>2372</v>
      </c>
    </row>
    <row r="231" spans="1:8" x14ac:dyDescent="0.2">
      <c r="A231" s="194"/>
      <c r="B231" s="199" t="s">
        <v>376</v>
      </c>
      <c r="C231" s="282" t="s">
        <v>720</v>
      </c>
      <c r="D231" s="122" t="s">
        <v>649</v>
      </c>
      <c r="E231" s="122" t="s">
        <v>720</v>
      </c>
      <c r="F231" s="118" t="s">
        <v>1245</v>
      </c>
      <c r="G231" s="122" t="s">
        <v>1661</v>
      </c>
      <c r="H231" s="122" t="s">
        <v>2373</v>
      </c>
    </row>
    <row r="232" spans="1:8" x14ac:dyDescent="0.2">
      <c r="A232" s="194"/>
      <c r="B232" s="199" t="s">
        <v>488</v>
      </c>
      <c r="C232" s="282" t="s">
        <v>965</v>
      </c>
      <c r="D232" s="122" t="s">
        <v>1727</v>
      </c>
      <c r="E232" s="122" t="s">
        <v>965</v>
      </c>
      <c r="F232" s="118" t="s">
        <v>2582</v>
      </c>
      <c r="G232" s="122" t="s">
        <v>266</v>
      </c>
      <c r="H232" s="122" t="s">
        <v>2374</v>
      </c>
    </row>
    <row r="233" spans="1:8" x14ac:dyDescent="0.2">
      <c r="A233" s="194"/>
      <c r="B233" s="199" t="s">
        <v>377</v>
      </c>
      <c r="C233" s="282" t="s">
        <v>730</v>
      </c>
      <c r="D233" s="122" t="s">
        <v>1993</v>
      </c>
      <c r="E233" s="122" t="s">
        <v>730</v>
      </c>
      <c r="F233" s="118" t="s">
        <v>2583</v>
      </c>
      <c r="G233" s="122" t="s">
        <v>1662</v>
      </c>
      <c r="H233" s="122" t="s">
        <v>2621</v>
      </c>
    </row>
    <row r="234" spans="1:8" x14ac:dyDescent="0.2">
      <c r="A234" s="194"/>
      <c r="B234" s="199" t="s">
        <v>489</v>
      </c>
      <c r="C234" s="282" t="s">
        <v>973</v>
      </c>
      <c r="D234" s="122" t="s">
        <v>2492</v>
      </c>
      <c r="E234" s="122" t="s">
        <v>973</v>
      </c>
      <c r="F234" s="118" t="s">
        <v>2584</v>
      </c>
      <c r="G234" s="122" t="s">
        <v>267</v>
      </c>
      <c r="H234" s="122" t="s">
        <v>1803</v>
      </c>
    </row>
    <row r="235" spans="1:8" x14ac:dyDescent="0.2">
      <c r="A235" s="194"/>
      <c r="B235" s="199" t="s">
        <v>378</v>
      </c>
      <c r="C235" s="282" t="s">
        <v>1336</v>
      </c>
      <c r="D235" s="122" t="s">
        <v>838</v>
      </c>
      <c r="E235" s="122" t="s">
        <v>1336</v>
      </c>
      <c r="F235" s="118" t="s">
        <v>2585</v>
      </c>
      <c r="G235" s="122" t="s">
        <v>1663</v>
      </c>
      <c r="H235" s="122" t="s">
        <v>1804</v>
      </c>
    </row>
    <row r="236" spans="1:8" x14ac:dyDescent="0.2">
      <c r="A236" s="194"/>
      <c r="B236" s="199" t="s">
        <v>490</v>
      </c>
      <c r="C236" s="282" t="s">
        <v>1005</v>
      </c>
      <c r="D236" s="122" t="s">
        <v>2504</v>
      </c>
      <c r="E236" s="122" t="s">
        <v>1005</v>
      </c>
      <c r="F236" s="118" t="s">
        <v>2586</v>
      </c>
      <c r="G236" s="122" t="s">
        <v>268</v>
      </c>
      <c r="H236" s="122" t="s">
        <v>1805</v>
      </c>
    </row>
    <row r="237" spans="1:8" x14ac:dyDescent="0.2">
      <c r="A237" s="194"/>
      <c r="B237" s="199"/>
      <c r="C237" s="282"/>
      <c r="D237" s="122"/>
      <c r="E237" s="122"/>
      <c r="F237" s="118"/>
      <c r="G237" s="122"/>
      <c r="H237" s="122" t="s">
        <v>668</v>
      </c>
    </row>
    <row r="238" spans="1:8" x14ac:dyDescent="0.2">
      <c r="A238" s="194"/>
      <c r="B238" s="199"/>
      <c r="C238" s="282"/>
      <c r="D238" s="122"/>
      <c r="E238" s="122"/>
      <c r="F238" s="118"/>
      <c r="G238" s="122"/>
      <c r="H238" s="122" t="s">
        <v>669</v>
      </c>
    </row>
    <row r="239" spans="1:8" x14ac:dyDescent="0.2">
      <c r="A239" s="194"/>
      <c r="B239" s="199" t="s">
        <v>379</v>
      </c>
      <c r="C239" s="282" t="s">
        <v>1333</v>
      </c>
      <c r="D239" s="122" t="s">
        <v>638</v>
      </c>
      <c r="E239" s="122" t="s">
        <v>1333</v>
      </c>
      <c r="F239" s="118" t="s">
        <v>2587</v>
      </c>
      <c r="G239" s="122" t="s">
        <v>1664</v>
      </c>
      <c r="H239" s="122" t="s">
        <v>670</v>
      </c>
    </row>
    <row r="240" spans="1:8" x14ac:dyDescent="0.2">
      <c r="A240" s="194"/>
      <c r="B240" s="199" t="s">
        <v>491</v>
      </c>
      <c r="C240" s="282" t="s">
        <v>1492</v>
      </c>
      <c r="D240" s="122" t="s">
        <v>1716</v>
      </c>
      <c r="E240" s="122" t="s">
        <v>1492</v>
      </c>
      <c r="F240" s="118" t="s">
        <v>2588</v>
      </c>
      <c r="G240" s="122" t="s">
        <v>269</v>
      </c>
      <c r="H240" s="122" t="s">
        <v>671</v>
      </c>
    </row>
    <row r="241" spans="1:8" x14ac:dyDescent="0.2">
      <c r="A241" s="194"/>
      <c r="B241" s="199" t="s">
        <v>380</v>
      </c>
      <c r="C241" s="282" t="s">
        <v>241</v>
      </c>
      <c r="D241" s="122" t="s">
        <v>641</v>
      </c>
      <c r="E241" s="122" t="s">
        <v>241</v>
      </c>
      <c r="F241" s="118" t="s">
        <v>2589</v>
      </c>
      <c r="G241" s="122" t="s">
        <v>1665</v>
      </c>
      <c r="H241" s="122" t="s">
        <v>672</v>
      </c>
    </row>
    <row r="242" spans="1:8" x14ac:dyDescent="0.2">
      <c r="A242" s="194"/>
      <c r="B242" s="199" t="s">
        <v>492</v>
      </c>
      <c r="C242" s="282" t="s">
        <v>1495</v>
      </c>
      <c r="D242" s="122" t="s">
        <v>1719</v>
      </c>
      <c r="E242" s="122" t="s">
        <v>1495</v>
      </c>
      <c r="F242" s="118" t="s">
        <v>2590</v>
      </c>
      <c r="G242" s="122" t="s">
        <v>270</v>
      </c>
      <c r="H242" s="122" t="s">
        <v>673</v>
      </c>
    </row>
    <row r="243" spans="1:8" x14ac:dyDescent="0.2">
      <c r="A243" s="194"/>
      <c r="B243" s="199" t="s">
        <v>381</v>
      </c>
      <c r="C243" s="282" t="s">
        <v>2224</v>
      </c>
      <c r="D243" s="122" t="s">
        <v>635</v>
      </c>
      <c r="E243" s="122" t="s">
        <v>2224</v>
      </c>
      <c r="F243" s="118" t="s">
        <v>2591</v>
      </c>
      <c r="G243" s="122" t="s">
        <v>1666</v>
      </c>
      <c r="H243" s="122" t="s">
        <v>674</v>
      </c>
    </row>
    <row r="244" spans="1:8" x14ac:dyDescent="0.2">
      <c r="A244" s="194"/>
      <c r="B244" s="199" t="s">
        <v>493</v>
      </c>
      <c r="C244" s="282" t="s">
        <v>1489</v>
      </c>
      <c r="D244" s="122" t="s">
        <v>1713</v>
      </c>
      <c r="E244" s="122" t="s">
        <v>1489</v>
      </c>
      <c r="F244" s="118" t="s">
        <v>2592</v>
      </c>
      <c r="G244" s="122" t="s">
        <v>271</v>
      </c>
      <c r="H244" s="122" t="s">
        <v>675</v>
      </c>
    </row>
    <row r="245" spans="1:8" x14ac:dyDescent="0.2">
      <c r="A245" s="194"/>
      <c r="B245" s="199" t="s">
        <v>382</v>
      </c>
      <c r="C245" s="282" t="s">
        <v>721</v>
      </c>
      <c r="D245" s="122" t="s">
        <v>650</v>
      </c>
      <c r="E245" s="122" t="s">
        <v>721</v>
      </c>
      <c r="F245" s="118" t="s">
        <v>2633</v>
      </c>
      <c r="G245" s="122" t="s">
        <v>1667</v>
      </c>
      <c r="H245" s="122" t="s">
        <v>676</v>
      </c>
    </row>
    <row r="246" spans="1:8" x14ac:dyDescent="0.2">
      <c r="A246" s="194"/>
      <c r="B246" s="199" t="s">
        <v>494</v>
      </c>
      <c r="C246" s="282" t="s">
        <v>966</v>
      </c>
      <c r="D246" s="122" t="s">
        <v>2485</v>
      </c>
      <c r="E246" s="122" t="s">
        <v>966</v>
      </c>
      <c r="F246" s="118" t="s">
        <v>2634</v>
      </c>
      <c r="G246" s="122" t="s">
        <v>272</v>
      </c>
      <c r="H246" s="122" t="s">
        <v>677</v>
      </c>
    </row>
    <row r="247" spans="1:8" x14ac:dyDescent="0.2">
      <c r="A247" s="194"/>
      <c r="B247" s="199" t="s">
        <v>383</v>
      </c>
      <c r="C247" s="282" t="s">
        <v>2225</v>
      </c>
      <c r="D247" s="122" t="s">
        <v>1994</v>
      </c>
      <c r="E247" s="122" t="s">
        <v>2225</v>
      </c>
      <c r="F247" s="118" t="s">
        <v>2635</v>
      </c>
      <c r="G247" s="122" t="s">
        <v>1668</v>
      </c>
      <c r="H247" s="122" t="s">
        <v>678</v>
      </c>
    </row>
    <row r="248" spans="1:8" x14ac:dyDescent="0.2">
      <c r="A248" s="194"/>
      <c r="B248" s="199" t="s">
        <v>495</v>
      </c>
      <c r="C248" s="282" t="s">
        <v>974</v>
      </c>
      <c r="D248" s="122" t="s">
        <v>2493</v>
      </c>
      <c r="E248" s="122" t="s">
        <v>974</v>
      </c>
      <c r="F248" s="118" t="s">
        <v>2636</v>
      </c>
      <c r="G248" s="122" t="s">
        <v>273</v>
      </c>
      <c r="H248" s="122" t="s">
        <v>679</v>
      </c>
    </row>
    <row r="249" spans="1:8" x14ac:dyDescent="0.2">
      <c r="A249" s="194"/>
      <c r="B249" s="199" t="s">
        <v>384</v>
      </c>
      <c r="C249" s="282" t="s">
        <v>2159</v>
      </c>
      <c r="D249" s="122" t="s">
        <v>839</v>
      </c>
      <c r="E249" s="122" t="s">
        <v>2159</v>
      </c>
      <c r="F249" s="118" t="s">
        <v>2637</v>
      </c>
      <c r="G249" s="122" t="s">
        <v>1669</v>
      </c>
      <c r="H249" s="122" t="s">
        <v>680</v>
      </c>
    </row>
    <row r="250" spans="1:8" x14ac:dyDescent="0.2">
      <c r="A250" s="194"/>
      <c r="B250" s="199" t="s">
        <v>496</v>
      </c>
      <c r="C250" s="282" t="s">
        <v>1006</v>
      </c>
      <c r="D250" s="122" t="s">
        <v>2505</v>
      </c>
      <c r="E250" s="122" t="s">
        <v>1006</v>
      </c>
      <c r="F250" s="118" t="s">
        <v>2638</v>
      </c>
      <c r="G250" s="122" t="s">
        <v>274</v>
      </c>
      <c r="H250" s="122" t="s">
        <v>681</v>
      </c>
    </row>
    <row r="251" spans="1:8" x14ac:dyDescent="0.2">
      <c r="A251" s="194"/>
      <c r="B251" s="199" t="s">
        <v>385</v>
      </c>
      <c r="C251" s="282" t="s">
        <v>230</v>
      </c>
      <c r="D251" s="122" t="s">
        <v>2219</v>
      </c>
      <c r="E251" s="122" t="s">
        <v>230</v>
      </c>
      <c r="F251" s="118" t="s">
        <v>2639</v>
      </c>
      <c r="G251" s="122" t="s">
        <v>1670</v>
      </c>
      <c r="H251" s="122" t="s">
        <v>682</v>
      </c>
    </row>
    <row r="252" spans="1:8" x14ac:dyDescent="0.2">
      <c r="A252" s="194"/>
      <c r="B252" s="199" t="s">
        <v>497</v>
      </c>
      <c r="C252" s="282" t="s">
        <v>1806</v>
      </c>
      <c r="D252" s="122" t="s">
        <v>2516</v>
      </c>
      <c r="E252" s="122" t="s">
        <v>1806</v>
      </c>
      <c r="F252" s="118" t="s">
        <v>2640</v>
      </c>
      <c r="G252" s="122" t="s">
        <v>275</v>
      </c>
      <c r="H252" s="122" t="s">
        <v>683</v>
      </c>
    </row>
    <row r="253" spans="1:8" x14ac:dyDescent="0.2">
      <c r="A253" s="194"/>
      <c r="B253" s="199" t="s">
        <v>386</v>
      </c>
      <c r="C253" s="282" t="s">
        <v>1334</v>
      </c>
      <c r="D253" s="122" t="s">
        <v>639</v>
      </c>
      <c r="E253" s="122" t="s">
        <v>1334</v>
      </c>
      <c r="F253" s="118" t="s">
        <v>2641</v>
      </c>
      <c r="G253" s="122" t="s">
        <v>1671</v>
      </c>
      <c r="H253" s="122" t="s">
        <v>684</v>
      </c>
    </row>
    <row r="254" spans="1:8" x14ac:dyDescent="0.2">
      <c r="A254" s="194"/>
      <c r="B254" s="199" t="s">
        <v>498</v>
      </c>
      <c r="C254" s="282" t="s">
        <v>1493</v>
      </c>
      <c r="D254" s="122" t="s">
        <v>1717</v>
      </c>
      <c r="E254" s="122" t="s">
        <v>1493</v>
      </c>
      <c r="F254" s="118" t="s">
        <v>2642</v>
      </c>
      <c r="G254" s="122" t="s">
        <v>2234</v>
      </c>
      <c r="H254" s="122" t="s">
        <v>685</v>
      </c>
    </row>
    <row r="255" spans="1:8" x14ac:dyDescent="0.2">
      <c r="A255" s="194"/>
      <c r="B255" s="199" t="s">
        <v>387</v>
      </c>
      <c r="C255" s="282" t="s">
        <v>242</v>
      </c>
      <c r="D255" s="122" t="s">
        <v>642</v>
      </c>
      <c r="E255" s="122" t="s">
        <v>242</v>
      </c>
      <c r="F255" s="118" t="s">
        <v>2643</v>
      </c>
      <c r="G255" s="122" t="s">
        <v>1672</v>
      </c>
      <c r="H255" s="122" t="s">
        <v>686</v>
      </c>
    </row>
    <row r="256" spans="1:8" x14ac:dyDescent="0.2">
      <c r="A256" s="194"/>
      <c r="B256" s="199" t="s">
        <v>499</v>
      </c>
      <c r="C256" s="282" t="s">
        <v>1496</v>
      </c>
      <c r="D256" s="122" t="s">
        <v>1720</v>
      </c>
      <c r="E256" s="122" t="s">
        <v>1496</v>
      </c>
      <c r="F256" s="118" t="s">
        <v>2644</v>
      </c>
      <c r="G256" s="122" t="s">
        <v>2235</v>
      </c>
      <c r="H256" s="122" t="s">
        <v>687</v>
      </c>
    </row>
    <row r="257" spans="1:8" x14ac:dyDescent="0.2">
      <c r="A257" s="194"/>
      <c r="B257" s="199" t="s">
        <v>388</v>
      </c>
      <c r="C257" s="282" t="s">
        <v>2020</v>
      </c>
      <c r="D257" s="122" t="s">
        <v>651</v>
      </c>
      <c r="E257" s="122" t="s">
        <v>2020</v>
      </c>
      <c r="F257" s="118" t="s">
        <v>2645</v>
      </c>
      <c r="G257" s="122" t="s">
        <v>1673</v>
      </c>
      <c r="H257" s="122" t="s">
        <v>688</v>
      </c>
    </row>
    <row r="258" spans="1:8" x14ac:dyDescent="0.2">
      <c r="A258" s="194"/>
      <c r="B258" s="199" t="s">
        <v>500</v>
      </c>
      <c r="C258" s="282" t="s">
        <v>967</v>
      </c>
      <c r="D258" s="122" t="s">
        <v>2486</v>
      </c>
      <c r="E258" s="122" t="s">
        <v>967</v>
      </c>
      <c r="F258" s="118" t="s">
        <v>2646</v>
      </c>
      <c r="G258" s="122" t="s">
        <v>2236</v>
      </c>
      <c r="H258" s="122" t="s">
        <v>689</v>
      </c>
    </row>
    <row r="259" spans="1:8" x14ac:dyDescent="0.2">
      <c r="A259" s="194"/>
      <c r="B259" s="199" t="s">
        <v>389</v>
      </c>
      <c r="C259" s="282" t="s">
        <v>2408</v>
      </c>
      <c r="D259" s="122" t="s">
        <v>1995</v>
      </c>
      <c r="E259" s="122" t="s">
        <v>2408</v>
      </c>
      <c r="F259" s="118" t="s">
        <v>2647</v>
      </c>
      <c r="G259" s="122" t="s">
        <v>1674</v>
      </c>
      <c r="H259" s="122" t="s">
        <v>690</v>
      </c>
    </row>
    <row r="260" spans="1:8" x14ac:dyDescent="0.2">
      <c r="A260" s="194"/>
      <c r="B260" s="199" t="s">
        <v>501</v>
      </c>
      <c r="C260" s="282" t="s">
        <v>975</v>
      </c>
      <c r="D260" s="122" t="s">
        <v>2494</v>
      </c>
      <c r="E260" s="122" t="s">
        <v>975</v>
      </c>
      <c r="F260" s="118" t="s">
        <v>2648</v>
      </c>
      <c r="G260" s="122" t="s">
        <v>2237</v>
      </c>
      <c r="H260" s="122" t="s">
        <v>691</v>
      </c>
    </row>
    <row r="261" spans="1:8" x14ac:dyDescent="0.2">
      <c r="A261" s="194"/>
      <c r="B261" s="199" t="s">
        <v>390</v>
      </c>
      <c r="C261" s="282" t="s">
        <v>2160</v>
      </c>
      <c r="D261" s="122" t="s">
        <v>840</v>
      </c>
      <c r="E261" s="122" t="s">
        <v>2160</v>
      </c>
      <c r="F261" s="118" t="s">
        <v>2649</v>
      </c>
      <c r="G261" s="122" t="s">
        <v>1675</v>
      </c>
      <c r="H261" s="122" t="s">
        <v>692</v>
      </c>
    </row>
    <row r="262" spans="1:8" x14ac:dyDescent="0.2">
      <c r="A262" s="194"/>
      <c r="B262" s="199" t="s">
        <v>502</v>
      </c>
      <c r="C262" s="282" t="s">
        <v>1007</v>
      </c>
      <c r="D262" s="122" t="s">
        <v>2506</v>
      </c>
      <c r="E262" s="122" t="s">
        <v>1007</v>
      </c>
      <c r="F262" s="118" t="s">
        <v>2650</v>
      </c>
      <c r="G262" s="122" t="s">
        <v>2238</v>
      </c>
      <c r="H262" s="122" t="s">
        <v>693</v>
      </c>
    </row>
    <row r="263" spans="1:8" x14ac:dyDescent="0.2">
      <c r="A263" s="194"/>
      <c r="B263" s="199" t="s">
        <v>391</v>
      </c>
      <c r="C263" s="282" t="s">
        <v>231</v>
      </c>
      <c r="D263" s="122" t="s">
        <v>1359</v>
      </c>
      <c r="E263" s="122" t="s">
        <v>231</v>
      </c>
      <c r="F263" s="118" t="s">
        <v>2651</v>
      </c>
      <c r="G263" s="122" t="s">
        <v>1676</v>
      </c>
      <c r="H263" s="122" t="s">
        <v>694</v>
      </c>
    </row>
    <row r="264" spans="1:8" x14ac:dyDescent="0.2">
      <c r="A264" s="194"/>
      <c r="B264" s="199" t="s">
        <v>503</v>
      </c>
      <c r="C264" s="282" t="s">
        <v>1807</v>
      </c>
      <c r="D264" s="122" t="s">
        <v>2517</v>
      </c>
      <c r="E264" s="122" t="s">
        <v>1807</v>
      </c>
      <c r="F264" s="118" t="s">
        <v>2652</v>
      </c>
      <c r="G264" s="122" t="s">
        <v>2239</v>
      </c>
      <c r="H264" s="122" t="s">
        <v>695</v>
      </c>
    </row>
    <row r="265" spans="1:8" x14ac:dyDescent="0.2">
      <c r="A265" s="194"/>
      <c r="B265" s="199" t="s">
        <v>392</v>
      </c>
      <c r="C265" s="282" t="s">
        <v>654</v>
      </c>
      <c r="D265" s="122" t="s">
        <v>643</v>
      </c>
      <c r="E265" s="122" t="s">
        <v>654</v>
      </c>
      <c r="F265" s="118" t="s">
        <v>2653</v>
      </c>
      <c r="G265" s="122" t="s">
        <v>1677</v>
      </c>
      <c r="H265" s="122" t="s">
        <v>696</v>
      </c>
    </row>
    <row r="266" spans="1:8" x14ac:dyDescent="0.2">
      <c r="A266" s="194"/>
      <c r="B266" s="199" t="s">
        <v>504</v>
      </c>
      <c r="C266" s="282" t="s">
        <v>1497</v>
      </c>
      <c r="D266" s="122" t="s">
        <v>1721</v>
      </c>
      <c r="E266" s="122" t="s">
        <v>1497</v>
      </c>
      <c r="F266" s="118" t="s">
        <v>2654</v>
      </c>
      <c r="G266" s="122" t="s">
        <v>2240</v>
      </c>
      <c r="H266" s="122" t="s">
        <v>697</v>
      </c>
    </row>
    <row r="267" spans="1:8" x14ac:dyDescent="0.2">
      <c r="A267" s="194"/>
      <c r="B267" s="199" t="s">
        <v>393</v>
      </c>
      <c r="C267" s="282" t="s">
        <v>2411</v>
      </c>
      <c r="D267" s="122" t="s">
        <v>636</v>
      </c>
      <c r="E267" s="122" t="s">
        <v>2411</v>
      </c>
      <c r="F267" s="118" t="s">
        <v>2655</v>
      </c>
      <c r="G267" s="122" t="s">
        <v>1678</v>
      </c>
      <c r="H267" s="122" t="s">
        <v>698</v>
      </c>
    </row>
    <row r="268" spans="1:8" x14ac:dyDescent="0.2">
      <c r="A268" s="194"/>
      <c r="B268" s="199" t="s">
        <v>505</v>
      </c>
      <c r="C268" s="282" t="s">
        <v>1490</v>
      </c>
      <c r="D268" s="122" t="s">
        <v>1714</v>
      </c>
      <c r="E268" s="122" t="s">
        <v>1490</v>
      </c>
      <c r="F268" s="118" t="s">
        <v>2656</v>
      </c>
      <c r="G268" s="122" t="s">
        <v>2241</v>
      </c>
      <c r="H268" s="122" t="s">
        <v>699</v>
      </c>
    </row>
    <row r="269" spans="1:8" x14ac:dyDescent="0.2">
      <c r="A269" s="194"/>
      <c r="B269" s="199" t="s">
        <v>394</v>
      </c>
      <c r="C269" s="282" t="s">
        <v>1335</v>
      </c>
      <c r="D269" s="122" t="s">
        <v>640</v>
      </c>
      <c r="E269" s="122" t="s">
        <v>1335</v>
      </c>
      <c r="F269" s="118" t="s">
        <v>2657</v>
      </c>
      <c r="G269" s="122" t="s">
        <v>1679</v>
      </c>
      <c r="H269" s="122" t="s">
        <v>700</v>
      </c>
    </row>
    <row r="270" spans="1:8" x14ac:dyDescent="0.2">
      <c r="A270" s="194"/>
      <c r="B270" s="199" t="s">
        <v>506</v>
      </c>
      <c r="C270" s="282" t="s">
        <v>1494</v>
      </c>
      <c r="D270" s="122" t="s">
        <v>1718</v>
      </c>
      <c r="E270" s="122" t="s">
        <v>1494</v>
      </c>
      <c r="F270" s="118" t="s">
        <v>2658</v>
      </c>
      <c r="G270" s="122" t="s">
        <v>1381</v>
      </c>
      <c r="H270" s="122" t="s">
        <v>701</v>
      </c>
    </row>
    <row r="271" spans="1:8" x14ac:dyDescent="0.2">
      <c r="A271" s="194"/>
      <c r="B271" s="199" t="s">
        <v>395</v>
      </c>
      <c r="C271" s="282" t="s">
        <v>2021</v>
      </c>
      <c r="D271" s="122" t="s">
        <v>652</v>
      </c>
      <c r="E271" s="122" t="s">
        <v>2021</v>
      </c>
      <c r="F271" s="118" t="s">
        <v>2659</v>
      </c>
      <c r="G271" s="122" t="s">
        <v>1680</v>
      </c>
      <c r="H271" s="122" t="s">
        <v>702</v>
      </c>
    </row>
    <row r="272" spans="1:8" x14ac:dyDescent="0.2">
      <c r="A272" s="194"/>
      <c r="B272" s="199" t="s">
        <v>507</v>
      </c>
      <c r="C272" s="282" t="s">
        <v>968</v>
      </c>
      <c r="D272" s="122" t="s">
        <v>2487</v>
      </c>
      <c r="E272" s="122" t="s">
        <v>968</v>
      </c>
      <c r="F272" s="118" t="s">
        <v>2660</v>
      </c>
      <c r="G272" s="122" t="s">
        <v>1382</v>
      </c>
      <c r="H272" s="122" t="s">
        <v>703</v>
      </c>
    </row>
    <row r="273" spans="1:8" x14ac:dyDescent="0.2">
      <c r="A273" s="194"/>
      <c r="B273" s="199" t="s">
        <v>396</v>
      </c>
      <c r="C273" s="282" t="s">
        <v>2414</v>
      </c>
      <c r="D273" s="122" t="s">
        <v>1996</v>
      </c>
      <c r="E273" s="122" t="s">
        <v>2414</v>
      </c>
      <c r="F273" s="118" t="s">
        <v>2661</v>
      </c>
      <c r="G273" s="122" t="s">
        <v>1681</v>
      </c>
      <c r="H273" s="122" t="s">
        <v>704</v>
      </c>
    </row>
    <row r="274" spans="1:8" x14ac:dyDescent="0.2">
      <c r="A274" s="194"/>
      <c r="B274" s="199" t="s">
        <v>508</v>
      </c>
      <c r="C274" s="282" t="s">
        <v>996</v>
      </c>
      <c r="D274" s="122" t="s">
        <v>2495</v>
      </c>
      <c r="E274" s="122" t="s">
        <v>996</v>
      </c>
      <c r="F274" s="118" t="s">
        <v>2662</v>
      </c>
      <c r="G274" s="122" t="s">
        <v>1383</v>
      </c>
      <c r="H274" s="122" t="s">
        <v>705</v>
      </c>
    </row>
    <row r="275" spans="1:8" x14ac:dyDescent="0.2">
      <c r="A275" s="194"/>
      <c r="B275" s="199" t="s">
        <v>397</v>
      </c>
      <c r="C275" s="282" t="s">
        <v>2161</v>
      </c>
      <c r="D275" s="122" t="s">
        <v>2210</v>
      </c>
      <c r="E275" s="122" t="s">
        <v>2161</v>
      </c>
      <c r="F275" s="118" t="s">
        <v>2663</v>
      </c>
      <c r="G275" s="122" t="s">
        <v>1682</v>
      </c>
      <c r="H275" s="122" t="s">
        <v>706</v>
      </c>
    </row>
    <row r="276" spans="1:8" x14ac:dyDescent="0.2">
      <c r="A276" s="194"/>
      <c r="B276" s="199" t="s">
        <v>509</v>
      </c>
      <c r="C276" s="282" t="s">
        <v>1008</v>
      </c>
      <c r="D276" s="122" t="s">
        <v>2507</v>
      </c>
      <c r="E276" s="122" t="s">
        <v>1008</v>
      </c>
      <c r="F276" s="118" t="s">
        <v>2664</v>
      </c>
      <c r="G276" s="122" t="s">
        <v>1384</v>
      </c>
      <c r="H276" s="122" t="s">
        <v>707</v>
      </c>
    </row>
    <row r="277" spans="1:8" x14ac:dyDescent="0.2">
      <c r="A277" s="194"/>
      <c r="B277" s="199" t="s">
        <v>398</v>
      </c>
      <c r="C277" s="282" t="s">
        <v>232</v>
      </c>
      <c r="D277" s="122" t="s">
        <v>1360</v>
      </c>
      <c r="E277" s="122" t="s">
        <v>232</v>
      </c>
      <c r="F277" s="118" t="s">
        <v>2665</v>
      </c>
      <c r="G277" s="122" t="s">
        <v>1683</v>
      </c>
      <c r="H277" s="122" t="s">
        <v>708</v>
      </c>
    </row>
    <row r="278" spans="1:8" x14ac:dyDescent="0.2">
      <c r="A278" s="194"/>
      <c r="B278" s="199" t="s">
        <v>510</v>
      </c>
      <c r="C278" s="282" t="s">
        <v>1808</v>
      </c>
      <c r="D278" s="122" t="s">
        <v>2518</v>
      </c>
      <c r="E278" s="122" t="s">
        <v>1808</v>
      </c>
      <c r="F278" s="118" t="s">
        <v>2666</v>
      </c>
      <c r="G278" s="122" t="s">
        <v>1385</v>
      </c>
      <c r="H278" s="122" t="s">
        <v>709</v>
      </c>
    </row>
    <row r="279" spans="1:8" x14ac:dyDescent="0.2">
      <c r="A279" s="194"/>
      <c r="B279" s="199" t="s">
        <v>399</v>
      </c>
      <c r="C279" s="282" t="s">
        <v>655</v>
      </c>
      <c r="D279" s="122" t="s">
        <v>644</v>
      </c>
      <c r="E279" s="122" t="s">
        <v>655</v>
      </c>
      <c r="F279" s="118" t="s">
        <v>2667</v>
      </c>
      <c r="G279" s="122" t="s">
        <v>1684</v>
      </c>
      <c r="H279" s="122" t="s">
        <v>710</v>
      </c>
    </row>
    <row r="280" spans="1:8" x14ac:dyDescent="0.2">
      <c r="A280" s="194"/>
      <c r="B280" s="199" t="s">
        <v>511</v>
      </c>
      <c r="C280" s="282" t="s">
        <v>1498</v>
      </c>
      <c r="D280" s="122" t="s">
        <v>1722</v>
      </c>
      <c r="E280" s="122" t="s">
        <v>1498</v>
      </c>
      <c r="F280" s="118" t="s">
        <v>1787</v>
      </c>
      <c r="G280" s="122" t="s">
        <v>1386</v>
      </c>
      <c r="H280" s="122" t="s">
        <v>711</v>
      </c>
    </row>
    <row r="281" spans="1:8" x14ac:dyDescent="0.2">
      <c r="A281" s="194"/>
      <c r="B281" s="199" t="s">
        <v>400</v>
      </c>
      <c r="C281" s="282" t="s">
        <v>2022</v>
      </c>
      <c r="D281" s="122" t="s">
        <v>653</v>
      </c>
      <c r="E281" s="122" t="s">
        <v>2022</v>
      </c>
      <c r="F281" s="118" t="s">
        <v>1788</v>
      </c>
      <c r="G281" s="122" t="s">
        <v>1685</v>
      </c>
      <c r="H281" s="122" t="s">
        <v>712</v>
      </c>
    </row>
    <row r="282" spans="1:8" x14ac:dyDescent="0.2">
      <c r="A282" s="194"/>
      <c r="B282" s="199" t="s">
        <v>512</v>
      </c>
      <c r="C282" s="282" t="s">
        <v>969</v>
      </c>
      <c r="D282" s="122" t="s">
        <v>2488</v>
      </c>
      <c r="E282" s="122" t="s">
        <v>969</v>
      </c>
      <c r="F282" s="118" t="s">
        <v>1789</v>
      </c>
      <c r="G282" s="122" t="s">
        <v>1387</v>
      </c>
      <c r="H282" s="122" t="s">
        <v>713</v>
      </c>
    </row>
    <row r="283" spans="1:8" x14ac:dyDescent="0.2">
      <c r="A283" s="194"/>
      <c r="B283" s="199" t="s">
        <v>401</v>
      </c>
      <c r="C283" s="282" t="s">
        <v>2417</v>
      </c>
      <c r="D283" s="122" t="s">
        <v>1997</v>
      </c>
      <c r="E283" s="122" t="s">
        <v>2417</v>
      </c>
      <c r="F283" s="118" t="s">
        <v>1771</v>
      </c>
      <c r="G283" s="122" t="s">
        <v>1686</v>
      </c>
      <c r="H283" s="122" t="s">
        <v>714</v>
      </c>
    </row>
    <row r="284" spans="1:8" x14ac:dyDescent="0.2">
      <c r="A284" s="194"/>
      <c r="B284" s="199" t="s">
        <v>513</v>
      </c>
      <c r="C284" s="282" t="s">
        <v>997</v>
      </c>
      <c r="D284" s="122" t="s">
        <v>2496</v>
      </c>
      <c r="E284" s="122" t="s">
        <v>997</v>
      </c>
      <c r="F284" s="118" t="s">
        <v>1772</v>
      </c>
      <c r="G284" s="122" t="s">
        <v>1388</v>
      </c>
      <c r="H284" s="122" t="s">
        <v>715</v>
      </c>
    </row>
    <row r="285" spans="1:8" x14ac:dyDescent="0.2">
      <c r="A285" s="194"/>
      <c r="B285" s="199" t="s">
        <v>402</v>
      </c>
      <c r="C285" s="282" t="s">
        <v>2162</v>
      </c>
      <c r="D285" s="122" t="s">
        <v>2211</v>
      </c>
      <c r="E285" s="122" t="s">
        <v>2162</v>
      </c>
      <c r="F285" s="118" t="s">
        <v>1773</v>
      </c>
      <c r="G285" s="122" t="s">
        <v>1687</v>
      </c>
      <c r="H285" s="122" t="s">
        <v>716</v>
      </c>
    </row>
    <row r="286" spans="1:8" x14ac:dyDescent="0.2">
      <c r="A286" s="194"/>
      <c r="B286" s="199" t="s">
        <v>514</v>
      </c>
      <c r="C286" s="282" t="s">
        <v>1009</v>
      </c>
      <c r="D286" s="122" t="s">
        <v>2508</v>
      </c>
      <c r="E286" s="122" t="s">
        <v>1009</v>
      </c>
      <c r="F286" s="118" t="s">
        <v>1774</v>
      </c>
      <c r="G286" s="122" t="s">
        <v>1389</v>
      </c>
      <c r="H286" s="122" t="s">
        <v>717</v>
      </c>
    </row>
    <row r="287" spans="1:8" x14ac:dyDescent="0.2">
      <c r="A287" s="194"/>
      <c r="B287" s="199" t="s">
        <v>403</v>
      </c>
      <c r="C287" s="282" t="s">
        <v>233</v>
      </c>
      <c r="D287" s="122" t="s">
        <v>1703</v>
      </c>
      <c r="E287" s="122" t="s">
        <v>233</v>
      </c>
      <c r="F287" s="118" t="s">
        <v>1775</v>
      </c>
      <c r="G287" s="122" t="s">
        <v>1688</v>
      </c>
      <c r="H287" s="122" t="s">
        <v>718</v>
      </c>
    </row>
    <row r="288" spans="1:8" x14ac:dyDescent="0.2">
      <c r="A288" s="194"/>
      <c r="B288" s="199" t="s">
        <v>515</v>
      </c>
      <c r="C288" s="282" t="s">
        <v>1809</v>
      </c>
      <c r="D288" s="122" t="s">
        <v>842</v>
      </c>
      <c r="E288" s="122" t="s">
        <v>1809</v>
      </c>
      <c r="F288" s="118" t="s">
        <v>1776</v>
      </c>
      <c r="G288" s="122" t="s">
        <v>1390</v>
      </c>
      <c r="H288" s="122" t="s">
        <v>1639</v>
      </c>
    </row>
    <row r="289" spans="1:8" x14ac:dyDescent="0.2">
      <c r="A289" s="194"/>
      <c r="B289" s="199" t="s">
        <v>404</v>
      </c>
      <c r="C289" s="282" t="s">
        <v>656</v>
      </c>
      <c r="D289" s="122" t="s">
        <v>645</v>
      </c>
      <c r="E289" s="122" t="s">
        <v>656</v>
      </c>
      <c r="F289" s="118" t="s">
        <v>1777</v>
      </c>
      <c r="G289" s="122" t="s">
        <v>1689</v>
      </c>
      <c r="H289" s="122" t="s">
        <v>1640</v>
      </c>
    </row>
    <row r="290" spans="1:8" x14ac:dyDescent="0.2">
      <c r="A290" s="194"/>
      <c r="B290" s="199" t="s">
        <v>516</v>
      </c>
      <c r="C290" s="282" t="s">
        <v>1499</v>
      </c>
      <c r="D290" s="122" t="s">
        <v>1723</v>
      </c>
      <c r="E290" s="122" t="s">
        <v>1499</v>
      </c>
      <c r="F290" s="118" t="s">
        <v>1778</v>
      </c>
      <c r="G290" s="122" t="s">
        <v>1391</v>
      </c>
      <c r="H290" s="122" t="s">
        <v>1641</v>
      </c>
    </row>
    <row r="291" spans="1:8" x14ac:dyDescent="0.2">
      <c r="A291" s="194"/>
      <c r="B291" s="199" t="s">
        <v>405</v>
      </c>
      <c r="C291" s="282" t="s">
        <v>1242</v>
      </c>
      <c r="D291" s="122" t="s">
        <v>1998</v>
      </c>
      <c r="E291" s="122" t="s">
        <v>1242</v>
      </c>
      <c r="F291" s="118" t="s">
        <v>1779</v>
      </c>
      <c r="G291" s="122" t="s">
        <v>1690</v>
      </c>
      <c r="H291" s="122" t="s">
        <v>1642</v>
      </c>
    </row>
    <row r="292" spans="1:8" x14ac:dyDescent="0.2">
      <c r="A292" s="194"/>
      <c r="B292" s="199" t="s">
        <v>517</v>
      </c>
      <c r="C292" s="282" t="s">
        <v>998</v>
      </c>
      <c r="D292" s="122" t="s">
        <v>2497</v>
      </c>
      <c r="E292" s="122" t="s">
        <v>998</v>
      </c>
      <c r="F292" s="118" t="s">
        <v>26</v>
      </c>
      <c r="G292" s="122" t="s">
        <v>1392</v>
      </c>
      <c r="H292" s="122" t="s">
        <v>1643</v>
      </c>
    </row>
    <row r="293" spans="1:8" x14ac:dyDescent="0.2">
      <c r="A293" s="194"/>
      <c r="B293" s="199" t="s">
        <v>406</v>
      </c>
      <c r="C293" s="282" t="s">
        <v>2163</v>
      </c>
      <c r="D293" s="122" t="s">
        <v>2212</v>
      </c>
      <c r="E293" s="122" t="s">
        <v>2163</v>
      </c>
      <c r="F293" s="118" t="s">
        <v>27</v>
      </c>
      <c r="G293" s="122" t="s">
        <v>1691</v>
      </c>
      <c r="H293" s="122" t="s">
        <v>1644</v>
      </c>
    </row>
    <row r="294" spans="1:8" x14ac:dyDescent="0.2">
      <c r="A294" s="194"/>
      <c r="B294" s="199" t="s">
        <v>518</v>
      </c>
      <c r="C294" s="282" t="s">
        <v>2375</v>
      </c>
      <c r="D294" s="122" t="s">
        <v>2509</v>
      </c>
      <c r="E294" s="122" t="s">
        <v>2375</v>
      </c>
      <c r="F294" s="118" t="s">
        <v>28</v>
      </c>
      <c r="G294" s="122" t="s">
        <v>1393</v>
      </c>
      <c r="H294" s="122" t="s">
        <v>1645</v>
      </c>
    </row>
    <row r="295" spans="1:8" x14ac:dyDescent="0.2">
      <c r="A295" s="194"/>
      <c r="B295" s="199" t="s">
        <v>407</v>
      </c>
      <c r="C295" s="282" t="s">
        <v>234</v>
      </c>
      <c r="D295" s="122" t="s">
        <v>1704</v>
      </c>
      <c r="E295" s="122" t="s">
        <v>234</v>
      </c>
      <c r="F295" s="118" t="s">
        <v>29</v>
      </c>
      <c r="G295" s="122" t="s">
        <v>1692</v>
      </c>
      <c r="H295" s="122" t="s">
        <v>1646</v>
      </c>
    </row>
    <row r="296" spans="1:8" x14ac:dyDescent="0.2">
      <c r="A296" s="194"/>
      <c r="B296" s="199" t="s">
        <v>519</v>
      </c>
      <c r="C296" s="282" t="s">
        <v>1810</v>
      </c>
      <c r="D296" s="122" t="s">
        <v>843</v>
      </c>
      <c r="E296" s="122" t="s">
        <v>1810</v>
      </c>
      <c r="F296" s="118" t="s">
        <v>30</v>
      </c>
      <c r="G296" s="122" t="s">
        <v>1394</v>
      </c>
      <c r="H296" s="122" t="s">
        <v>1647</v>
      </c>
    </row>
    <row r="297" spans="1:8" x14ac:dyDescent="0.2">
      <c r="A297" s="194"/>
      <c r="B297" s="199" t="s">
        <v>408</v>
      </c>
      <c r="C297" s="282" t="s">
        <v>2023</v>
      </c>
      <c r="D297" s="122" t="s">
        <v>1990</v>
      </c>
      <c r="E297" s="122" t="s">
        <v>2023</v>
      </c>
      <c r="F297" s="118" t="s">
        <v>31</v>
      </c>
      <c r="G297" s="122" t="s">
        <v>1693</v>
      </c>
      <c r="H297" s="122" t="s">
        <v>2004</v>
      </c>
    </row>
    <row r="298" spans="1:8" x14ac:dyDescent="0.2">
      <c r="A298" s="194"/>
      <c r="B298" s="199" t="s">
        <v>520</v>
      </c>
      <c r="C298" s="282" t="s">
        <v>970</v>
      </c>
      <c r="D298" s="122" t="s">
        <v>2489</v>
      </c>
      <c r="E298" s="122" t="s">
        <v>970</v>
      </c>
      <c r="F298" s="118" t="s">
        <v>32</v>
      </c>
      <c r="G298" s="122" t="s">
        <v>1395</v>
      </c>
      <c r="H298" s="122" t="s">
        <v>2005</v>
      </c>
    </row>
    <row r="299" spans="1:8" x14ac:dyDescent="0.2">
      <c r="A299" s="194"/>
      <c r="B299" s="199" t="s">
        <v>409</v>
      </c>
      <c r="C299" s="282" t="s">
        <v>2420</v>
      </c>
      <c r="D299" s="122" t="s">
        <v>1999</v>
      </c>
      <c r="E299" s="122" t="s">
        <v>2420</v>
      </c>
      <c r="F299" s="118" t="s">
        <v>33</v>
      </c>
      <c r="G299" s="122" t="s">
        <v>1694</v>
      </c>
      <c r="H299" s="122" t="s">
        <v>2006</v>
      </c>
    </row>
    <row r="300" spans="1:8" x14ac:dyDescent="0.2">
      <c r="A300" s="194"/>
      <c r="B300" s="199" t="s">
        <v>521</v>
      </c>
      <c r="C300" s="282" t="s">
        <v>999</v>
      </c>
      <c r="D300" s="122" t="s">
        <v>2498</v>
      </c>
      <c r="E300" s="122" t="s">
        <v>999</v>
      </c>
      <c r="F300" s="118" t="s">
        <v>34</v>
      </c>
      <c r="G300" s="122" t="s">
        <v>1396</v>
      </c>
      <c r="H300" s="122" t="s">
        <v>2007</v>
      </c>
    </row>
    <row r="301" spans="1:8" x14ac:dyDescent="0.2">
      <c r="A301" s="194"/>
      <c r="B301" s="199" t="s">
        <v>410</v>
      </c>
      <c r="C301" s="282" t="s">
        <v>2164</v>
      </c>
      <c r="D301" s="122" t="s">
        <v>2213</v>
      </c>
      <c r="E301" s="122" t="s">
        <v>2164</v>
      </c>
      <c r="F301" s="118" t="s">
        <v>35</v>
      </c>
      <c r="G301" s="122" t="s">
        <v>777</v>
      </c>
      <c r="H301" s="122" t="s">
        <v>2008</v>
      </c>
    </row>
    <row r="302" spans="1:8" x14ac:dyDescent="0.2">
      <c r="A302" s="194"/>
      <c r="B302" s="199" t="s">
        <v>522</v>
      </c>
      <c r="C302" s="282" t="s">
        <v>2376</v>
      </c>
      <c r="D302" s="122" t="s">
        <v>2510</v>
      </c>
      <c r="E302" s="122" t="s">
        <v>2376</v>
      </c>
      <c r="F302" s="118" t="s">
        <v>36</v>
      </c>
      <c r="G302" s="122" t="s">
        <v>1397</v>
      </c>
      <c r="H302" s="122" t="s">
        <v>2009</v>
      </c>
    </row>
    <row r="303" spans="1:8" x14ac:dyDescent="0.2">
      <c r="A303" s="194"/>
      <c r="B303" s="199" t="s">
        <v>411</v>
      </c>
      <c r="C303" s="282" t="s">
        <v>235</v>
      </c>
      <c r="D303" s="122" t="s">
        <v>1705</v>
      </c>
      <c r="E303" s="122" t="s">
        <v>235</v>
      </c>
      <c r="F303" s="118" t="s">
        <v>37</v>
      </c>
      <c r="G303" s="122" t="s">
        <v>778</v>
      </c>
      <c r="H303" s="122" t="s">
        <v>2010</v>
      </c>
    </row>
    <row r="304" spans="1:8" x14ac:dyDescent="0.2">
      <c r="A304" s="194"/>
      <c r="B304" s="199" t="s">
        <v>523</v>
      </c>
      <c r="C304" s="282" t="s">
        <v>1811</v>
      </c>
      <c r="D304" s="122" t="s">
        <v>844</v>
      </c>
      <c r="E304" s="122" t="s">
        <v>1811</v>
      </c>
      <c r="F304" s="118" t="s">
        <v>38</v>
      </c>
      <c r="G304" s="122" t="s">
        <v>1398</v>
      </c>
      <c r="H304" s="122" t="s">
        <v>2091</v>
      </c>
    </row>
    <row r="305" spans="1:8" x14ac:dyDescent="0.2">
      <c r="A305" s="194"/>
      <c r="B305" s="199" t="s">
        <v>412</v>
      </c>
      <c r="C305" s="282" t="s">
        <v>657</v>
      </c>
      <c r="D305" s="122" t="s">
        <v>646</v>
      </c>
      <c r="E305" s="122" t="s">
        <v>657</v>
      </c>
      <c r="F305" s="118" t="s">
        <v>39</v>
      </c>
      <c r="G305" s="122" t="s">
        <v>779</v>
      </c>
      <c r="H305" s="122" t="s">
        <v>2092</v>
      </c>
    </row>
    <row r="306" spans="1:8" x14ac:dyDescent="0.2">
      <c r="A306" s="194"/>
      <c r="B306" s="199" t="s">
        <v>524</v>
      </c>
      <c r="C306" s="282" t="s">
        <v>962</v>
      </c>
      <c r="D306" s="122" t="s">
        <v>1724</v>
      </c>
      <c r="E306" s="122" t="s">
        <v>962</v>
      </c>
      <c r="F306" s="118" t="s">
        <v>40</v>
      </c>
      <c r="G306" s="122" t="s">
        <v>1399</v>
      </c>
      <c r="H306" s="122" t="s">
        <v>2093</v>
      </c>
    </row>
    <row r="307" spans="1:8" x14ac:dyDescent="0.2">
      <c r="A307" s="194"/>
      <c r="B307" s="199" t="s">
        <v>413</v>
      </c>
      <c r="C307" s="282" t="s">
        <v>2024</v>
      </c>
      <c r="D307" s="122" t="s">
        <v>1991</v>
      </c>
      <c r="E307" s="122" t="s">
        <v>2024</v>
      </c>
      <c r="F307" s="118" t="s">
        <v>41</v>
      </c>
      <c r="G307" s="122" t="s">
        <v>780</v>
      </c>
      <c r="H307" s="122" t="s">
        <v>2094</v>
      </c>
    </row>
    <row r="308" spans="1:8" x14ac:dyDescent="0.2">
      <c r="A308" s="194"/>
      <c r="B308" s="199" t="s">
        <v>525</v>
      </c>
      <c r="C308" s="282" t="s">
        <v>971</v>
      </c>
      <c r="D308" s="122" t="s">
        <v>2490</v>
      </c>
      <c r="E308" s="122" t="s">
        <v>971</v>
      </c>
      <c r="F308" s="118" t="s">
        <v>42</v>
      </c>
      <c r="G308" s="122" t="s">
        <v>1400</v>
      </c>
      <c r="H308" s="122" t="s">
        <v>2095</v>
      </c>
    </row>
    <row r="309" spans="1:8" x14ac:dyDescent="0.2">
      <c r="A309" s="194"/>
      <c r="B309" s="199" t="s">
        <v>414</v>
      </c>
      <c r="C309" s="282" t="s">
        <v>2423</v>
      </c>
      <c r="D309" s="122" t="s">
        <v>2000</v>
      </c>
      <c r="E309" s="122" t="s">
        <v>2423</v>
      </c>
      <c r="F309" s="118" t="s">
        <v>43</v>
      </c>
      <c r="G309" s="122" t="s">
        <v>781</v>
      </c>
      <c r="H309" s="122" t="s">
        <v>797</v>
      </c>
    </row>
    <row r="310" spans="1:8" x14ac:dyDescent="0.2">
      <c r="A310" s="194"/>
      <c r="B310" s="199" t="s">
        <v>526</v>
      </c>
      <c r="C310" s="282" t="s">
        <v>1000</v>
      </c>
      <c r="D310" s="122" t="s">
        <v>2499</v>
      </c>
      <c r="E310" s="122" t="s">
        <v>1000</v>
      </c>
      <c r="F310" s="118" t="s">
        <v>44</v>
      </c>
      <c r="G310" s="122" t="s">
        <v>1401</v>
      </c>
      <c r="H310" s="122" t="s">
        <v>798</v>
      </c>
    </row>
    <row r="311" spans="1:8" x14ac:dyDescent="0.2">
      <c r="A311" s="194"/>
      <c r="B311" s="199" t="s">
        <v>415</v>
      </c>
      <c r="C311" s="282" t="s">
        <v>2165</v>
      </c>
      <c r="D311" s="122" t="s">
        <v>2214</v>
      </c>
      <c r="E311" s="122" t="s">
        <v>2165</v>
      </c>
      <c r="F311" s="118" t="s">
        <v>45</v>
      </c>
      <c r="G311" s="122" t="s">
        <v>782</v>
      </c>
      <c r="H311" s="122" t="s">
        <v>799</v>
      </c>
    </row>
    <row r="312" spans="1:8" x14ac:dyDescent="0.2">
      <c r="A312" s="194"/>
      <c r="B312" s="199" t="s">
        <v>527</v>
      </c>
      <c r="C312" s="282" t="s">
        <v>1470</v>
      </c>
      <c r="D312" s="122" t="s">
        <v>2511</v>
      </c>
      <c r="E312" s="122" t="s">
        <v>1470</v>
      </c>
      <c r="F312" s="118" t="s">
        <v>46</v>
      </c>
      <c r="G312" s="122" t="s">
        <v>1402</v>
      </c>
      <c r="H312" s="122" t="s">
        <v>800</v>
      </c>
    </row>
    <row r="313" spans="1:8" x14ac:dyDescent="0.2">
      <c r="A313" s="194"/>
      <c r="B313" s="199" t="s">
        <v>416</v>
      </c>
      <c r="C313" s="282" t="s">
        <v>236</v>
      </c>
      <c r="D313" s="122" t="s">
        <v>1706</v>
      </c>
      <c r="E313" s="122" t="s">
        <v>236</v>
      </c>
      <c r="F313" s="118" t="s">
        <v>47</v>
      </c>
      <c r="G313" s="122" t="s">
        <v>783</v>
      </c>
      <c r="H313" s="122" t="s">
        <v>801</v>
      </c>
    </row>
    <row r="314" spans="1:8" x14ac:dyDescent="0.2">
      <c r="A314" s="194"/>
      <c r="B314" s="199" t="s">
        <v>528</v>
      </c>
      <c r="C314" s="282" t="s">
        <v>1812</v>
      </c>
      <c r="D314" s="122" t="s">
        <v>1761</v>
      </c>
      <c r="E314" s="122" t="s">
        <v>1812</v>
      </c>
      <c r="F314" s="118" t="s">
        <v>48</v>
      </c>
      <c r="G314" s="122" t="s">
        <v>1403</v>
      </c>
      <c r="H314" s="122" t="s">
        <v>802</v>
      </c>
    </row>
    <row r="315" spans="1:8" x14ac:dyDescent="0.2">
      <c r="A315" s="194"/>
      <c r="B315" s="199" t="s">
        <v>417</v>
      </c>
      <c r="C315" s="282" t="s">
        <v>658</v>
      </c>
      <c r="D315" s="122" t="s">
        <v>647</v>
      </c>
      <c r="E315" s="122" t="s">
        <v>658</v>
      </c>
      <c r="F315" s="118" t="s">
        <v>49</v>
      </c>
      <c r="G315" s="122" t="s">
        <v>784</v>
      </c>
      <c r="H315" s="122" t="s">
        <v>803</v>
      </c>
    </row>
    <row r="316" spans="1:8" x14ac:dyDescent="0.2">
      <c r="A316" s="194"/>
      <c r="B316" s="199" t="s">
        <v>529</v>
      </c>
      <c r="C316" s="282" t="s">
        <v>963</v>
      </c>
      <c r="D316" s="122" t="s">
        <v>1725</v>
      </c>
      <c r="E316" s="122" t="s">
        <v>963</v>
      </c>
      <c r="F316" s="118" t="s">
        <v>50</v>
      </c>
      <c r="G316" s="122" t="s">
        <v>1404</v>
      </c>
      <c r="H316" s="122" t="s">
        <v>804</v>
      </c>
    </row>
    <row r="317" spans="1:8" x14ac:dyDescent="0.2">
      <c r="A317" s="194"/>
      <c r="B317" s="199" t="s">
        <v>418</v>
      </c>
      <c r="C317" s="282" t="s">
        <v>2025</v>
      </c>
      <c r="D317" s="122" t="s">
        <v>1992</v>
      </c>
      <c r="E317" s="122" t="s">
        <v>2025</v>
      </c>
      <c r="F317" s="118" t="s">
        <v>51</v>
      </c>
      <c r="G317" s="122" t="s">
        <v>785</v>
      </c>
      <c r="H317" s="122" t="s">
        <v>805</v>
      </c>
    </row>
    <row r="318" spans="1:8" x14ac:dyDescent="0.2">
      <c r="A318" s="194"/>
      <c r="B318" s="199" t="s">
        <v>530</v>
      </c>
      <c r="C318" s="282" t="s">
        <v>972</v>
      </c>
      <c r="D318" s="122" t="s">
        <v>2491</v>
      </c>
      <c r="E318" s="122" t="s">
        <v>972</v>
      </c>
      <c r="F318" s="118" t="s">
        <v>52</v>
      </c>
      <c r="G318" s="122" t="s">
        <v>1419</v>
      </c>
      <c r="H318" s="122" t="s">
        <v>806</v>
      </c>
    </row>
    <row r="319" spans="1:8" x14ac:dyDescent="0.2">
      <c r="A319" s="194"/>
      <c r="B319" s="199" t="s">
        <v>419</v>
      </c>
      <c r="C319" s="282" t="s">
        <v>2426</v>
      </c>
      <c r="D319" s="122" t="s">
        <v>2001</v>
      </c>
      <c r="E319" s="122" t="s">
        <v>2426</v>
      </c>
      <c r="F319" s="118" t="s">
        <v>53</v>
      </c>
      <c r="G319" s="122" t="s">
        <v>786</v>
      </c>
      <c r="H319" s="122" t="s">
        <v>807</v>
      </c>
    </row>
    <row r="320" spans="1:8" x14ac:dyDescent="0.2">
      <c r="A320" s="194"/>
      <c r="B320" s="199" t="s">
        <v>531</v>
      </c>
      <c r="C320" s="282" t="s">
        <v>1001</v>
      </c>
      <c r="D320" s="122" t="s">
        <v>2500</v>
      </c>
      <c r="E320" s="122" t="s">
        <v>1001</v>
      </c>
      <c r="F320" s="118" t="s">
        <v>54</v>
      </c>
      <c r="G320" s="122" t="s">
        <v>1420</v>
      </c>
      <c r="H320" s="122" t="s">
        <v>808</v>
      </c>
    </row>
    <row r="321" spans="1:8" x14ac:dyDescent="0.2">
      <c r="A321" s="194"/>
      <c r="B321" s="199" t="s">
        <v>420</v>
      </c>
      <c r="C321" s="282" t="s">
        <v>2166</v>
      </c>
      <c r="D321" s="122" t="s">
        <v>2215</v>
      </c>
      <c r="E321" s="122" t="s">
        <v>2166</v>
      </c>
      <c r="F321" s="118" t="s">
        <v>55</v>
      </c>
      <c r="G321" s="122" t="s">
        <v>787</v>
      </c>
      <c r="H321" s="122" t="s">
        <v>809</v>
      </c>
    </row>
    <row r="322" spans="1:8" x14ac:dyDescent="0.2">
      <c r="A322" s="194"/>
      <c r="B322" s="199" t="s">
        <v>532</v>
      </c>
      <c r="C322" s="282" t="s">
        <v>1471</v>
      </c>
      <c r="D322" s="122" t="s">
        <v>2512</v>
      </c>
      <c r="E322" s="122" t="s">
        <v>1471</v>
      </c>
      <c r="F322" s="118" t="s">
        <v>56</v>
      </c>
      <c r="G322" s="122" t="s">
        <v>1421</v>
      </c>
      <c r="H322" s="122" t="s">
        <v>810</v>
      </c>
    </row>
    <row r="323" spans="1:8" x14ac:dyDescent="0.2">
      <c r="A323" s="194"/>
      <c r="B323" s="199" t="s">
        <v>421</v>
      </c>
      <c r="C323" s="282" t="s">
        <v>237</v>
      </c>
      <c r="D323" s="122" t="s">
        <v>1707</v>
      </c>
      <c r="E323" s="122" t="s">
        <v>237</v>
      </c>
      <c r="F323" s="118" t="s">
        <v>57</v>
      </c>
      <c r="G323" s="122" t="s">
        <v>788</v>
      </c>
      <c r="H323" s="122" t="s">
        <v>811</v>
      </c>
    </row>
    <row r="324" spans="1:8" x14ac:dyDescent="0.2">
      <c r="A324" s="194"/>
      <c r="B324" s="199" t="s">
        <v>533</v>
      </c>
      <c r="C324" s="282" t="s">
        <v>1813</v>
      </c>
      <c r="D324" s="122" t="s">
        <v>1762</v>
      </c>
      <c r="E324" s="122" t="s">
        <v>1813</v>
      </c>
      <c r="F324" s="118" t="s">
        <v>58</v>
      </c>
      <c r="G324" s="122" t="s">
        <v>1422</v>
      </c>
      <c r="H324" s="122" t="s">
        <v>812</v>
      </c>
    </row>
    <row r="325" spans="1:8" x14ac:dyDescent="0.2">
      <c r="A325" s="194"/>
      <c r="B325" s="199" t="s">
        <v>422</v>
      </c>
      <c r="C325" s="282" t="s">
        <v>719</v>
      </c>
      <c r="D325" s="122" t="s">
        <v>648</v>
      </c>
      <c r="E325" s="122" t="s">
        <v>719</v>
      </c>
      <c r="F325" s="118" t="s">
        <v>59</v>
      </c>
      <c r="G325" s="122" t="s">
        <v>789</v>
      </c>
      <c r="H325" s="122" t="s">
        <v>813</v>
      </c>
    </row>
    <row r="326" spans="1:8" x14ac:dyDescent="0.2">
      <c r="A326" s="194"/>
      <c r="B326" s="199" t="s">
        <v>534</v>
      </c>
      <c r="C326" s="282" t="s">
        <v>964</v>
      </c>
      <c r="D326" s="122" t="s">
        <v>1726</v>
      </c>
      <c r="E326" s="122" t="s">
        <v>964</v>
      </c>
      <c r="F326" s="118" t="s">
        <v>60</v>
      </c>
      <c r="G326" s="122" t="s">
        <v>1423</v>
      </c>
      <c r="H326" s="122" t="s">
        <v>814</v>
      </c>
    </row>
    <row r="327" spans="1:8" x14ac:dyDescent="0.2">
      <c r="A327" s="194"/>
      <c r="B327" s="199" t="s">
        <v>423</v>
      </c>
      <c r="C327" s="282" t="s">
        <v>1730</v>
      </c>
      <c r="D327" s="122" t="s">
        <v>2002</v>
      </c>
      <c r="E327" s="122" t="s">
        <v>1730</v>
      </c>
      <c r="F327" s="118" t="s">
        <v>61</v>
      </c>
      <c r="G327" s="122" t="s">
        <v>790</v>
      </c>
      <c r="H327" s="122" t="s">
        <v>815</v>
      </c>
    </row>
    <row r="328" spans="1:8" x14ac:dyDescent="0.2">
      <c r="A328" s="194"/>
      <c r="B328" s="199" t="s">
        <v>535</v>
      </c>
      <c r="C328" s="282" t="s">
        <v>1002</v>
      </c>
      <c r="D328" s="122" t="s">
        <v>2501</v>
      </c>
      <c r="E328" s="122" t="s">
        <v>1002</v>
      </c>
      <c r="F328" s="118" t="s">
        <v>62</v>
      </c>
      <c r="G328" s="122" t="s">
        <v>841</v>
      </c>
      <c r="H328" s="122" t="s">
        <v>816</v>
      </c>
    </row>
    <row r="329" spans="1:8" x14ac:dyDescent="0.2">
      <c r="A329" s="194"/>
      <c r="B329" s="199" t="s">
        <v>424</v>
      </c>
      <c r="C329" s="282" t="s">
        <v>227</v>
      </c>
      <c r="D329" s="122" t="s">
        <v>2216</v>
      </c>
      <c r="E329" s="122" t="s">
        <v>227</v>
      </c>
      <c r="F329" s="118" t="s">
        <v>63</v>
      </c>
      <c r="G329" s="122" t="s">
        <v>2227</v>
      </c>
      <c r="H329" s="122" t="s">
        <v>817</v>
      </c>
    </row>
    <row r="330" spans="1:8" x14ac:dyDescent="0.2">
      <c r="A330" s="194"/>
      <c r="B330" s="199" t="s">
        <v>536</v>
      </c>
      <c r="C330" s="282" t="s">
        <v>1472</v>
      </c>
      <c r="D330" s="122" t="s">
        <v>2513</v>
      </c>
      <c r="E330" s="122" t="s">
        <v>1472</v>
      </c>
      <c r="F330" s="118" t="s">
        <v>64</v>
      </c>
      <c r="G330" s="122" t="s">
        <v>1010</v>
      </c>
      <c r="H330" s="122" t="s">
        <v>818</v>
      </c>
    </row>
    <row r="331" spans="1:8" x14ac:dyDescent="0.2">
      <c r="A331" s="194"/>
      <c r="B331" s="199" t="s">
        <v>425</v>
      </c>
      <c r="C331" s="282" t="s">
        <v>238</v>
      </c>
      <c r="D331" s="122" t="s">
        <v>1708</v>
      </c>
      <c r="E331" s="122" t="s">
        <v>238</v>
      </c>
      <c r="F331" s="118" t="s">
        <v>65</v>
      </c>
      <c r="G331" s="122" t="s">
        <v>2228</v>
      </c>
      <c r="H331" s="122" t="s">
        <v>819</v>
      </c>
    </row>
    <row r="332" spans="1:8" x14ac:dyDescent="0.2">
      <c r="A332" s="194"/>
      <c r="B332" s="199" t="s">
        <v>537</v>
      </c>
      <c r="C332" s="282" t="s">
        <v>1814</v>
      </c>
      <c r="D332" s="122" t="s">
        <v>1763</v>
      </c>
      <c r="E332" s="122" t="s">
        <v>1814</v>
      </c>
      <c r="F332" s="118" t="s">
        <v>66</v>
      </c>
      <c r="G332" s="122" t="s">
        <v>1011</v>
      </c>
      <c r="H332" s="122" t="s">
        <v>820</v>
      </c>
    </row>
    <row r="333" spans="1:8" x14ac:dyDescent="0.2">
      <c r="A333" s="194"/>
      <c r="B333" s="199" t="s">
        <v>426</v>
      </c>
      <c r="C333" s="282" t="s">
        <v>1733</v>
      </c>
      <c r="D333" s="122" t="s">
        <v>2003</v>
      </c>
      <c r="E333" s="122" t="s">
        <v>1733</v>
      </c>
      <c r="F333" s="118" t="s">
        <v>67</v>
      </c>
      <c r="G333" s="122" t="s">
        <v>2229</v>
      </c>
      <c r="H333" s="122" t="s">
        <v>821</v>
      </c>
    </row>
    <row r="334" spans="1:8" x14ac:dyDescent="0.2">
      <c r="A334" s="194"/>
      <c r="B334" s="199" t="s">
        <v>538</v>
      </c>
      <c r="C334" s="282" t="s">
        <v>1003</v>
      </c>
      <c r="D334" s="122" t="s">
        <v>2502</v>
      </c>
      <c r="E334" s="122" t="s">
        <v>1003</v>
      </c>
      <c r="F334" s="118" t="s">
        <v>68</v>
      </c>
      <c r="G334" s="122" t="s">
        <v>1012</v>
      </c>
      <c r="H334" s="122" t="s">
        <v>822</v>
      </c>
    </row>
    <row r="335" spans="1:8" x14ac:dyDescent="0.2">
      <c r="A335" s="194"/>
      <c r="B335" s="199" t="s">
        <v>427</v>
      </c>
      <c r="C335" s="282" t="s">
        <v>228</v>
      </c>
      <c r="D335" s="122" t="s">
        <v>2217</v>
      </c>
      <c r="E335" s="122" t="s">
        <v>228</v>
      </c>
      <c r="F335" s="118" t="s">
        <v>69</v>
      </c>
      <c r="G335" s="122" t="s">
        <v>2230</v>
      </c>
      <c r="H335" s="122" t="s">
        <v>823</v>
      </c>
    </row>
    <row r="336" spans="1:8" x14ac:dyDescent="0.2">
      <c r="A336" s="194"/>
      <c r="B336" s="199" t="s">
        <v>539</v>
      </c>
      <c r="C336" s="282" t="s">
        <v>1473</v>
      </c>
      <c r="D336" s="122" t="s">
        <v>2514</v>
      </c>
      <c r="E336" s="122" t="s">
        <v>1473</v>
      </c>
      <c r="F336" s="118" t="s">
        <v>70</v>
      </c>
      <c r="G336" s="122" t="s">
        <v>1013</v>
      </c>
      <c r="H336" s="122" t="s">
        <v>824</v>
      </c>
    </row>
    <row r="337" spans="1:8" x14ac:dyDescent="0.2">
      <c r="A337" s="194"/>
      <c r="B337" s="199" t="s">
        <v>428</v>
      </c>
      <c r="C337" s="282" t="s">
        <v>239</v>
      </c>
      <c r="D337" s="122" t="s">
        <v>1709</v>
      </c>
      <c r="E337" s="122" t="s">
        <v>239</v>
      </c>
      <c r="F337" s="118" t="s">
        <v>71</v>
      </c>
      <c r="G337" s="122" t="s">
        <v>2231</v>
      </c>
      <c r="H337" s="122" t="s">
        <v>825</v>
      </c>
    </row>
    <row r="338" spans="1:8" x14ac:dyDescent="0.2">
      <c r="A338" s="194"/>
      <c r="B338" s="199" t="s">
        <v>540</v>
      </c>
      <c r="C338" s="282" t="s">
        <v>1815</v>
      </c>
      <c r="D338" s="122" t="s">
        <v>1764</v>
      </c>
      <c r="E338" s="122" t="s">
        <v>1815</v>
      </c>
      <c r="F338" s="118" t="s">
        <v>72</v>
      </c>
      <c r="G338" s="122" t="s">
        <v>1014</v>
      </c>
      <c r="H338" s="122" t="s">
        <v>826</v>
      </c>
    </row>
    <row r="339" spans="1:8" x14ac:dyDescent="0.2">
      <c r="A339" s="194"/>
      <c r="B339" s="199" t="s">
        <v>429</v>
      </c>
      <c r="C339" s="282" t="s">
        <v>1734</v>
      </c>
      <c r="D339" s="122" t="s">
        <v>25</v>
      </c>
      <c r="E339" s="122" t="s">
        <v>1734</v>
      </c>
      <c r="F339" s="118" t="s">
        <v>73</v>
      </c>
      <c r="G339" s="122" t="s">
        <v>2232</v>
      </c>
      <c r="H339" s="122" t="s">
        <v>827</v>
      </c>
    </row>
    <row r="340" spans="1:8" x14ac:dyDescent="0.2">
      <c r="A340" s="194"/>
      <c r="B340" s="199" t="s">
        <v>541</v>
      </c>
      <c r="C340" s="282" t="s">
        <v>1004</v>
      </c>
      <c r="D340" s="122" t="s">
        <v>2503</v>
      </c>
      <c r="E340" s="122" t="s">
        <v>1004</v>
      </c>
      <c r="F340" s="118" t="s">
        <v>74</v>
      </c>
      <c r="G340" s="122" t="s">
        <v>1474</v>
      </c>
      <c r="H340" s="122" t="s">
        <v>828</v>
      </c>
    </row>
    <row r="341" spans="1:8" x14ac:dyDescent="0.2">
      <c r="A341" s="194"/>
      <c r="B341" s="199" t="s">
        <v>430</v>
      </c>
      <c r="C341" s="282" t="s">
        <v>229</v>
      </c>
      <c r="D341" s="122" t="s">
        <v>2218</v>
      </c>
      <c r="E341" s="122" t="s">
        <v>229</v>
      </c>
      <c r="F341" s="118" t="s">
        <v>75</v>
      </c>
      <c r="G341" s="122" t="s">
        <v>2233</v>
      </c>
      <c r="H341" s="122" t="s">
        <v>829</v>
      </c>
    </row>
    <row r="342" spans="1:8" x14ac:dyDescent="0.2">
      <c r="A342" s="194"/>
      <c r="B342" s="199" t="s">
        <v>542</v>
      </c>
      <c r="C342" s="282" t="s">
        <v>2526</v>
      </c>
      <c r="D342" s="122" t="s">
        <v>2515</v>
      </c>
      <c r="E342" s="122" t="s">
        <v>2526</v>
      </c>
      <c r="F342" s="118" t="s">
        <v>76</v>
      </c>
      <c r="G342" s="122" t="s">
        <v>1475</v>
      </c>
      <c r="H342" s="122" t="s">
        <v>830</v>
      </c>
    </row>
    <row r="343" spans="1:8" x14ac:dyDescent="0.2">
      <c r="A343" s="194"/>
      <c r="B343" s="199" t="s">
        <v>431</v>
      </c>
      <c r="C343" s="282" t="s">
        <v>240</v>
      </c>
      <c r="D343" s="122" t="s">
        <v>1710</v>
      </c>
      <c r="E343" s="122" t="s">
        <v>240</v>
      </c>
      <c r="F343" s="118" t="s">
        <v>77</v>
      </c>
      <c r="G343" s="122" t="s">
        <v>1377</v>
      </c>
      <c r="H343" s="122" t="s">
        <v>831</v>
      </c>
    </row>
    <row r="344" spans="1:8" x14ac:dyDescent="0.2">
      <c r="A344" s="194"/>
      <c r="B344" s="199" t="s">
        <v>543</v>
      </c>
      <c r="C344" s="282" t="s">
        <v>1816</v>
      </c>
      <c r="D344" s="122" t="s">
        <v>1765</v>
      </c>
      <c r="E344" s="122" t="s">
        <v>1816</v>
      </c>
      <c r="F344" s="118" t="s">
        <v>78</v>
      </c>
      <c r="G344" s="122" t="s">
        <v>1476</v>
      </c>
      <c r="H344" s="122" t="s">
        <v>1735</v>
      </c>
    </row>
    <row r="345" spans="1:8" x14ac:dyDescent="0.2">
      <c r="A345" s="194"/>
      <c r="B345" s="199" t="s">
        <v>3011</v>
      </c>
      <c r="C345" s="282" t="s">
        <v>1550</v>
      </c>
      <c r="D345" s="122" t="s">
        <v>2901</v>
      </c>
      <c r="E345" s="122" t="s">
        <v>1550</v>
      </c>
      <c r="F345" s="118" t="s">
        <v>1063</v>
      </c>
      <c r="G345" s="122" t="s">
        <v>1378</v>
      </c>
      <c r="H345" s="122" t="s">
        <v>1736</v>
      </c>
    </row>
    <row r="346" spans="1:8" ht="25.5" x14ac:dyDescent="0.2">
      <c r="A346" s="194"/>
      <c r="B346" s="199" t="s">
        <v>3012</v>
      </c>
      <c r="C346" s="282" t="s">
        <v>2401</v>
      </c>
      <c r="D346" s="122" t="s">
        <v>2402</v>
      </c>
      <c r="E346" s="122" t="s">
        <v>2401</v>
      </c>
      <c r="F346" s="118" t="s">
        <v>2465</v>
      </c>
      <c r="G346" s="122" t="s">
        <v>992</v>
      </c>
      <c r="H346" s="122" t="s">
        <v>1737</v>
      </c>
    </row>
    <row r="347" spans="1:8" x14ac:dyDescent="0.2">
      <c r="A347" s="194"/>
      <c r="B347" s="199" t="s">
        <v>3013</v>
      </c>
      <c r="C347" s="282" t="s">
        <v>1767</v>
      </c>
      <c r="D347" s="122" t="s">
        <v>1766</v>
      </c>
      <c r="E347" s="122" t="s">
        <v>1767</v>
      </c>
      <c r="F347" s="118" t="s">
        <v>1064</v>
      </c>
      <c r="G347" s="122" t="s">
        <v>1379</v>
      </c>
      <c r="H347" s="122" t="s">
        <v>1738</v>
      </c>
    </row>
    <row r="348" spans="1:8" ht="25.5" x14ac:dyDescent="0.2">
      <c r="A348" s="194"/>
      <c r="B348" s="199" t="s">
        <v>3014</v>
      </c>
      <c r="C348" s="282" t="s">
        <v>1769</v>
      </c>
      <c r="D348" s="122" t="s">
        <v>1768</v>
      </c>
      <c r="E348" s="122" t="s">
        <v>1769</v>
      </c>
      <c r="F348" s="118" t="s">
        <v>2466</v>
      </c>
      <c r="G348" s="122" t="s">
        <v>993</v>
      </c>
      <c r="H348" s="122" t="s">
        <v>1739</v>
      </c>
    </row>
    <row r="349" spans="1:8" x14ac:dyDescent="0.2">
      <c r="A349" s="194"/>
      <c r="B349" s="199" t="s">
        <v>3177</v>
      </c>
      <c r="C349" s="282" t="s">
        <v>3381</v>
      </c>
      <c r="D349" s="122" t="s">
        <v>3380</v>
      </c>
      <c r="E349" s="122" t="s">
        <v>3381</v>
      </c>
      <c r="F349" s="118" t="s">
        <v>3382</v>
      </c>
      <c r="G349" s="122" t="s">
        <v>3383</v>
      </c>
      <c r="H349" s="122" t="s">
        <v>3384</v>
      </c>
    </row>
    <row r="350" spans="1:8" x14ac:dyDescent="0.2">
      <c r="A350" s="194"/>
      <c r="B350" s="199" t="s">
        <v>3178</v>
      </c>
      <c r="C350" s="282" t="s">
        <v>3274</v>
      </c>
      <c r="D350" s="122" t="s">
        <v>3248</v>
      </c>
      <c r="E350" s="122" t="s">
        <v>3274</v>
      </c>
      <c r="F350" s="118" t="s">
        <v>3300</v>
      </c>
      <c r="G350" s="122" t="s">
        <v>3326</v>
      </c>
      <c r="H350" s="122" t="s">
        <v>3352</v>
      </c>
    </row>
    <row r="351" spans="1:8" x14ac:dyDescent="0.2">
      <c r="A351" s="194"/>
      <c r="B351" s="199" t="s">
        <v>3015</v>
      </c>
      <c r="C351" s="282" t="s">
        <v>1329</v>
      </c>
      <c r="D351" s="122" t="s">
        <v>1328</v>
      </c>
      <c r="E351" s="122" t="s">
        <v>1329</v>
      </c>
      <c r="F351" s="118" t="s">
        <v>2715</v>
      </c>
      <c r="G351" s="122" t="s">
        <v>1380</v>
      </c>
      <c r="H351" s="122" t="s">
        <v>1740</v>
      </c>
    </row>
    <row r="352" spans="1:8" x14ac:dyDescent="0.2">
      <c r="A352" s="194"/>
      <c r="B352" s="199" t="s">
        <v>3016</v>
      </c>
      <c r="C352" s="282" t="s">
        <v>2698</v>
      </c>
      <c r="D352" s="122" t="s">
        <v>2697</v>
      </c>
      <c r="E352" s="122" t="s">
        <v>2698</v>
      </c>
      <c r="F352" s="118" t="s">
        <v>2467</v>
      </c>
      <c r="G352" s="122" t="s">
        <v>994</v>
      </c>
      <c r="H352" s="122" t="s">
        <v>1741</v>
      </c>
    </row>
    <row r="353" spans="1:8" x14ac:dyDescent="0.2">
      <c r="A353" s="194"/>
      <c r="B353" s="199" t="s">
        <v>3017</v>
      </c>
      <c r="C353" s="282" t="s">
        <v>2403</v>
      </c>
      <c r="D353" s="122" t="s">
        <v>2404</v>
      </c>
      <c r="E353" s="122" t="s">
        <v>2403</v>
      </c>
      <c r="F353" s="118" t="s">
        <v>2716</v>
      </c>
      <c r="G353" s="122" t="s">
        <v>544</v>
      </c>
      <c r="H353" s="122" t="s">
        <v>1742</v>
      </c>
    </row>
    <row r="354" spans="1:8" ht="25.5" x14ac:dyDescent="0.2">
      <c r="A354" s="194"/>
      <c r="B354" s="199" t="s">
        <v>3018</v>
      </c>
      <c r="C354" s="282" t="s">
        <v>137</v>
      </c>
      <c r="D354" s="123" t="s">
        <v>138</v>
      </c>
      <c r="E354" s="122" t="s">
        <v>137</v>
      </c>
      <c r="F354" s="118" t="s">
        <v>2468</v>
      </c>
      <c r="G354" s="122" t="s">
        <v>995</v>
      </c>
      <c r="H354" s="122" t="s">
        <v>1743</v>
      </c>
    </row>
    <row r="355" spans="1:8" x14ac:dyDescent="0.2">
      <c r="A355" s="194"/>
      <c r="B355" s="199" t="s">
        <v>3019</v>
      </c>
      <c r="C355" s="282" t="s">
        <v>1321</v>
      </c>
      <c r="D355" s="122" t="s">
        <v>1770</v>
      </c>
      <c r="E355" s="122" t="s">
        <v>1321</v>
      </c>
      <c r="F355" s="118" t="s">
        <v>2717</v>
      </c>
      <c r="G355" s="122" t="s">
        <v>545</v>
      </c>
      <c r="H355" s="122" t="s">
        <v>1744</v>
      </c>
    </row>
    <row r="356" spans="1:8" ht="25.5" x14ac:dyDescent="0.2">
      <c r="A356" s="194"/>
      <c r="B356" s="199" t="s">
        <v>3020</v>
      </c>
      <c r="C356" s="282" t="s">
        <v>1323</v>
      </c>
      <c r="D356" s="123" t="s">
        <v>1322</v>
      </c>
      <c r="E356" s="122" t="s">
        <v>1323</v>
      </c>
      <c r="F356" s="118" t="s">
        <v>2469</v>
      </c>
      <c r="G356" s="122" t="s">
        <v>1842</v>
      </c>
      <c r="H356" s="122" t="s">
        <v>1745</v>
      </c>
    </row>
    <row r="357" spans="1:8" x14ac:dyDescent="0.2">
      <c r="A357" s="194"/>
      <c r="B357" s="199" t="s">
        <v>3179</v>
      </c>
      <c r="C357" s="282" t="s">
        <v>3386</v>
      </c>
      <c r="D357" s="122" t="s">
        <v>3385</v>
      </c>
      <c r="E357" s="122" t="s">
        <v>3386</v>
      </c>
      <c r="F357" s="118" t="s">
        <v>3387</v>
      </c>
      <c r="G357" s="122" t="s">
        <v>3388</v>
      </c>
      <c r="H357" s="122" t="s">
        <v>3389</v>
      </c>
    </row>
    <row r="358" spans="1:8" x14ac:dyDescent="0.2">
      <c r="A358" s="194"/>
      <c r="B358" s="199" t="s">
        <v>3180</v>
      </c>
      <c r="C358" s="282" t="s">
        <v>3275</v>
      </c>
      <c r="D358" s="122" t="s">
        <v>3249</v>
      </c>
      <c r="E358" s="122" t="s">
        <v>3275</v>
      </c>
      <c r="F358" s="118" t="s">
        <v>3301</v>
      </c>
      <c r="G358" s="122" t="s">
        <v>3327</v>
      </c>
      <c r="H358" s="122" t="s">
        <v>3353</v>
      </c>
    </row>
    <row r="359" spans="1:8" x14ac:dyDescent="0.2">
      <c r="A359" s="194"/>
      <c r="B359" s="199" t="s">
        <v>3021</v>
      </c>
      <c r="C359" s="282" t="s">
        <v>2700</v>
      </c>
      <c r="D359" s="122" t="s">
        <v>2699</v>
      </c>
      <c r="E359" s="122" t="s">
        <v>2700</v>
      </c>
      <c r="F359" s="118" t="s">
        <v>2718</v>
      </c>
      <c r="G359" s="122" t="s">
        <v>546</v>
      </c>
      <c r="H359" s="122" t="s">
        <v>1746</v>
      </c>
    </row>
    <row r="360" spans="1:8" x14ac:dyDescent="0.2">
      <c r="A360" s="194"/>
      <c r="B360" s="199" t="s">
        <v>3022</v>
      </c>
      <c r="C360" s="282" t="s">
        <v>2702</v>
      </c>
      <c r="D360" s="122" t="s">
        <v>2701</v>
      </c>
      <c r="E360" s="122" t="s">
        <v>2702</v>
      </c>
      <c r="F360" s="118" t="s">
        <v>2470</v>
      </c>
      <c r="G360" s="122" t="s">
        <v>1843</v>
      </c>
      <c r="H360" s="122" t="s">
        <v>1747</v>
      </c>
    </row>
    <row r="361" spans="1:8" x14ac:dyDescent="0.2">
      <c r="A361" s="194"/>
      <c r="B361" s="199" t="s">
        <v>3023</v>
      </c>
      <c r="C361" s="282" t="s">
        <v>139</v>
      </c>
      <c r="D361" s="122" t="s">
        <v>140</v>
      </c>
      <c r="E361" s="122" t="s">
        <v>139</v>
      </c>
      <c r="F361" s="118" t="s">
        <v>2251</v>
      </c>
      <c r="G361" s="122" t="s">
        <v>547</v>
      </c>
      <c r="H361" s="122" t="s">
        <v>1748</v>
      </c>
    </row>
    <row r="362" spans="1:8" ht="25.5" x14ac:dyDescent="0.2">
      <c r="A362" s="194"/>
      <c r="B362" s="199" t="s">
        <v>3024</v>
      </c>
      <c r="C362" s="282" t="s">
        <v>141</v>
      </c>
      <c r="D362" s="122" t="s">
        <v>142</v>
      </c>
      <c r="E362" s="122" t="s">
        <v>141</v>
      </c>
      <c r="F362" s="118" t="s">
        <v>2471</v>
      </c>
      <c r="G362" s="122" t="s">
        <v>100</v>
      </c>
      <c r="H362" s="122" t="s">
        <v>1749</v>
      </c>
    </row>
    <row r="363" spans="1:8" x14ac:dyDescent="0.2">
      <c r="A363" s="194"/>
      <c r="B363" s="199" t="s">
        <v>3025</v>
      </c>
      <c r="C363" s="282" t="s">
        <v>1039</v>
      </c>
      <c r="D363" s="122" t="s">
        <v>1038</v>
      </c>
      <c r="E363" s="122" t="s">
        <v>1039</v>
      </c>
      <c r="F363" s="118" t="s">
        <v>2252</v>
      </c>
      <c r="G363" s="122" t="s">
        <v>548</v>
      </c>
      <c r="H363" s="122" t="s">
        <v>2157</v>
      </c>
    </row>
    <row r="364" spans="1:8" ht="25.5" x14ac:dyDescent="0.2">
      <c r="A364" s="194"/>
      <c r="B364" s="199" t="s">
        <v>3026</v>
      </c>
      <c r="C364" s="282" t="s">
        <v>1041</v>
      </c>
      <c r="D364" s="122" t="s">
        <v>1040</v>
      </c>
      <c r="E364" s="122" t="s">
        <v>1041</v>
      </c>
      <c r="F364" s="118" t="s">
        <v>2472</v>
      </c>
      <c r="G364" s="122" t="s">
        <v>101</v>
      </c>
      <c r="H364" s="122" t="s">
        <v>2158</v>
      </c>
    </row>
    <row r="365" spans="1:8" x14ac:dyDescent="0.2">
      <c r="A365" s="194"/>
      <c r="B365" s="199" t="s">
        <v>3027</v>
      </c>
      <c r="C365" s="282" t="s">
        <v>143</v>
      </c>
      <c r="D365" s="122" t="s">
        <v>144</v>
      </c>
      <c r="E365" s="122" t="s">
        <v>143</v>
      </c>
      <c r="F365" s="118" t="s">
        <v>2253</v>
      </c>
      <c r="G365" s="122" t="s">
        <v>549</v>
      </c>
      <c r="H365" s="122" t="s">
        <v>2242</v>
      </c>
    </row>
    <row r="366" spans="1:8" ht="25.5" x14ac:dyDescent="0.2">
      <c r="A366" s="194"/>
      <c r="B366" s="199" t="s">
        <v>3028</v>
      </c>
      <c r="C366" s="282" t="s">
        <v>145</v>
      </c>
      <c r="D366" s="122" t="s">
        <v>146</v>
      </c>
      <c r="E366" s="122" t="s">
        <v>145</v>
      </c>
      <c r="F366" s="118" t="s">
        <v>2473</v>
      </c>
      <c r="G366" s="122" t="s">
        <v>1065</v>
      </c>
      <c r="H366" s="122" t="s">
        <v>2243</v>
      </c>
    </row>
    <row r="367" spans="1:8" x14ac:dyDescent="0.2">
      <c r="A367" s="194"/>
      <c r="B367" s="199" t="s">
        <v>3029</v>
      </c>
      <c r="C367" s="282" t="s">
        <v>8</v>
      </c>
      <c r="D367" s="122" t="s">
        <v>7</v>
      </c>
      <c r="E367" s="122" t="s">
        <v>8</v>
      </c>
      <c r="F367" s="118" t="s">
        <v>2254</v>
      </c>
      <c r="G367" s="122" t="s">
        <v>550</v>
      </c>
      <c r="H367" s="122" t="s">
        <v>2244</v>
      </c>
    </row>
    <row r="368" spans="1:8" ht="25.5" x14ac:dyDescent="0.2">
      <c r="A368" s="194"/>
      <c r="B368" s="199" t="s">
        <v>3030</v>
      </c>
      <c r="C368" s="282" t="s">
        <v>10</v>
      </c>
      <c r="D368" s="122" t="s">
        <v>9</v>
      </c>
      <c r="E368" s="122" t="s">
        <v>10</v>
      </c>
      <c r="F368" s="118" t="s">
        <v>2474</v>
      </c>
      <c r="G368" s="122" t="s">
        <v>2527</v>
      </c>
      <c r="H368" s="122" t="s">
        <v>2245</v>
      </c>
    </row>
    <row r="369" spans="1:8" x14ac:dyDescent="0.2">
      <c r="A369" s="194"/>
      <c r="B369" s="199" t="s">
        <v>3031</v>
      </c>
      <c r="C369" s="282" t="s">
        <v>2594</v>
      </c>
      <c r="D369" s="122" t="s">
        <v>2593</v>
      </c>
      <c r="E369" s="122" t="s">
        <v>2594</v>
      </c>
      <c r="F369" s="118" t="s">
        <v>2255</v>
      </c>
      <c r="G369" s="122" t="s">
        <v>551</v>
      </c>
      <c r="H369" s="122" t="s">
        <v>2246</v>
      </c>
    </row>
    <row r="370" spans="1:8" ht="25.5" x14ac:dyDescent="0.2">
      <c r="A370" s="194"/>
      <c r="B370" s="199" t="s">
        <v>3032</v>
      </c>
      <c r="C370" s="282" t="s">
        <v>2596</v>
      </c>
      <c r="D370" s="122" t="s">
        <v>2595</v>
      </c>
      <c r="E370" s="122" t="s">
        <v>2596</v>
      </c>
      <c r="F370" s="118" t="s">
        <v>2475</v>
      </c>
      <c r="G370" s="122" t="s">
        <v>2528</v>
      </c>
      <c r="H370" s="122" t="s">
        <v>2247</v>
      </c>
    </row>
    <row r="371" spans="1:8" x14ac:dyDescent="0.2">
      <c r="A371" s="194"/>
      <c r="B371" s="199" t="s">
        <v>3033</v>
      </c>
      <c r="C371" s="282" t="s">
        <v>1325</v>
      </c>
      <c r="D371" s="122" t="s">
        <v>1324</v>
      </c>
      <c r="E371" s="122" t="s">
        <v>1325</v>
      </c>
      <c r="F371" s="118" t="s">
        <v>2256</v>
      </c>
      <c r="G371" s="122" t="s">
        <v>552</v>
      </c>
      <c r="H371" s="122" t="s">
        <v>2248</v>
      </c>
    </row>
    <row r="372" spans="1:8" ht="25.5" x14ac:dyDescent="0.2">
      <c r="A372" s="194"/>
      <c r="B372" s="199" t="s">
        <v>3034</v>
      </c>
      <c r="C372" s="282" t="s">
        <v>1327</v>
      </c>
      <c r="D372" s="122" t="s">
        <v>1326</v>
      </c>
      <c r="E372" s="122" t="s">
        <v>1327</v>
      </c>
      <c r="F372" s="118" t="s">
        <v>2476</v>
      </c>
      <c r="G372" s="122" t="s">
        <v>2529</v>
      </c>
      <c r="H372" s="122" t="s">
        <v>2249</v>
      </c>
    </row>
    <row r="373" spans="1:8" x14ac:dyDescent="0.2">
      <c r="A373" s="194"/>
      <c r="B373" s="199" t="s">
        <v>3035</v>
      </c>
      <c r="C373" s="282" t="s">
        <v>1932</v>
      </c>
      <c r="D373" s="122" t="s">
        <v>1931</v>
      </c>
      <c r="E373" s="122" t="s">
        <v>1932</v>
      </c>
      <c r="F373" s="118" t="s">
        <v>2257</v>
      </c>
      <c r="G373" s="122" t="s">
        <v>553</v>
      </c>
      <c r="H373" s="122" t="s">
        <v>2250</v>
      </c>
    </row>
    <row r="374" spans="1:8" ht="25.5" x14ac:dyDescent="0.2">
      <c r="A374" s="194"/>
      <c r="B374" s="199" t="s">
        <v>3036</v>
      </c>
      <c r="C374" s="282" t="s">
        <v>1017</v>
      </c>
      <c r="D374" s="122" t="s">
        <v>1016</v>
      </c>
      <c r="E374" s="122" t="s">
        <v>1017</v>
      </c>
      <c r="F374" s="118" t="s">
        <v>2477</v>
      </c>
      <c r="G374" s="122" t="s">
        <v>2530</v>
      </c>
      <c r="H374" s="122" t="s">
        <v>1850</v>
      </c>
    </row>
    <row r="375" spans="1:8" x14ac:dyDescent="0.2">
      <c r="A375" s="194"/>
      <c r="B375" s="199" t="s">
        <v>3181</v>
      </c>
      <c r="C375" s="282" t="s">
        <v>3391</v>
      </c>
      <c r="D375" s="122" t="s">
        <v>3390</v>
      </c>
      <c r="E375" s="122" t="s">
        <v>3391</v>
      </c>
      <c r="F375" s="118" t="s">
        <v>3392</v>
      </c>
      <c r="G375" s="122" t="s">
        <v>3393</v>
      </c>
      <c r="H375" s="122" t="s">
        <v>3394</v>
      </c>
    </row>
    <row r="376" spans="1:8" x14ac:dyDescent="0.2">
      <c r="A376" s="194"/>
      <c r="B376" s="199" t="s">
        <v>3182</v>
      </c>
      <c r="C376" s="282" t="s">
        <v>3276</v>
      </c>
      <c r="D376" s="122" t="s">
        <v>3250</v>
      </c>
      <c r="E376" s="122" t="s">
        <v>3276</v>
      </c>
      <c r="F376" s="118" t="s">
        <v>3302</v>
      </c>
      <c r="G376" s="122" t="s">
        <v>3328</v>
      </c>
      <c r="H376" s="122" t="s">
        <v>3354</v>
      </c>
    </row>
    <row r="377" spans="1:8" x14ac:dyDescent="0.2">
      <c r="A377" s="194"/>
      <c r="B377" s="199" t="s">
        <v>3183</v>
      </c>
      <c r="C377" s="282" t="s">
        <v>3396</v>
      </c>
      <c r="D377" s="122" t="s">
        <v>3395</v>
      </c>
      <c r="E377" s="122" t="s">
        <v>3396</v>
      </c>
      <c r="F377" s="118" t="s">
        <v>3397</v>
      </c>
      <c r="G377" s="122" t="s">
        <v>3398</v>
      </c>
      <c r="H377" s="122" t="s">
        <v>3399</v>
      </c>
    </row>
    <row r="378" spans="1:8" x14ac:dyDescent="0.2">
      <c r="A378" s="194"/>
      <c r="B378" s="199" t="s">
        <v>3184</v>
      </c>
      <c r="C378" s="282" t="s">
        <v>3277</v>
      </c>
      <c r="D378" s="122" t="s">
        <v>3251</v>
      </c>
      <c r="E378" s="122" t="s">
        <v>3277</v>
      </c>
      <c r="F378" s="118" t="s">
        <v>3303</v>
      </c>
      <c r="G378" s="122" t="s">
        <v>3329</v>
      </c>
      <c r="H378" s="122" t="s">
        <v>3355</v>
      </c>
    </row>
    <row r="379" spans="1:8" x14ac:dyDescent="0.2">
      <c r="A379" s="194"/>
      <c r="B379" s="199" t="s">
        <v>3185</v>
      </c>
      <c r="C379" s="282" t="s">
        <v>3401</v>
      </c>
      <c r="D379" s="122" t="s">
        <v>3400</v>
      </c>
      <c r="E379" s="122" t="s">
        <v>3401</v>
      </c>
      <c r="F379" s="118" t="s">
        <v>3402</v>
      </c>
      <c r="G379" s="122" t="s">
        <v>3403</v>
      </c>
      <c r="H379" s="122" t="s">
        <v>3404</v>
      </c>
    </row>
    <row r="380" spans="1:8" x14ac:dyDescent="0.2">
      <c r="A380" s="194"/>
      <c r="B380" s="199" t="s">
        <v>3186</v>
      </c>
      <c r="C380" s="282" t="s">
        <v>3278</v>
      </c>
      <c r="D380" s="122" t="s">
        <v>3252</v>
      </c>
      <c r="E380" s="122" t="s">
        <v>3278</v>
      </c>
      <c r="F380" s="118" t="s">
        <v>3304</v>
      </c>
      <c r="G380" s="122" t="s">
        <v>3330</v>
      </c>
      <c r="H380" s="122" t="s">
        <v>3356</v>
      </c>
    </row>
    <row r="381" spans="1:8" x14ac:dyDescent="0.2">
      <c r="A381" s="194"/>
      <c r="B381" s="199" t="s">
        <v>3187</v>
      </c>
      <c r="C381" s="282" t="s">
        <v>3406</v>
      </c>
      <c r="D381" s="122" t="s">
        <v>3405</v>
      </c>
      <c r="E381" s="122" t="s">
        <v>3406</v>
      </c>
      <c r="F381" s="118" t="s">
        <v>3407</v>
      </c>
      <c r="G381" s="122" t="s">
        <v>3408</v>
      </c>
      <c r="H381" s="122" t="s">
        <v>3409</v>
      </c>
    </row>
    <row r="382" spans="1:8" x14ac:dyDescent="0.2">
      <c r="A382" s="194"/>
      <c r="B382" s="199" t="s">
        <v>3188</v>
      </c>
      <c r="C382" s="282" t="s">
        <v>3279</v>
      </c>
      <c r="D382" s="122" t="s">
        <v>3253</v>
      </c>
      <c r="E382" s="122" t="s">
        <v>3279</v>
      </c>
      <c r="F382" s="118" t="s">
        <v>3305</v>
      </c>
      <c r="G382" s="122" t="s">
        <v>3331</v>
      </c>
      <c r="H382" s="122" t="s">
        <v>3357</v>
      </c>
    </row>
    <row r="383" spans="1:8" x14ac:dyDescent="0.2">
      <c r="A383" s="194"/>
      <c r="B383" s="199" t="s">
        <v>3037</v>
      </c>
      <c r="C383" s="282" t="s">
        <v>1368</v>
      </c>
      <c r="D383" s="122" t="s">
        <v>1367</v>
      </c>
      <c r="E383" s="122" t="s">
        <v>1368</v>
      </c>
      <c r="F383" s="118" t="s">
        <v>2258</v>
      </c>
      <c r="G383" s="122" t="s">
        <v>554</v>
      </c>
      <c r="H383" s="122" t="s">
        <v>1851</v>
      </c>
    </row>
    <row r="384" spans="1:8" x14ac:dyDescent="0.2">
      <c r="A384" s="194"/>
      <c r="B384" s="199" t="s">
        <v>3038</v>
      </c>
      <c r="C384" s="282" t="s">
        <v>1370</v>
      </c>
      <c r="D384" s="122" t="s">
        <v>1369</v>
      </c>
      <c r="E384" s="122" t="s">
        <v>1370</v>
      </c>
      <c r="F384" s="118" t="s">
        <v>2478</v>
      </c>
      <c r="G384" s="122" t="s">
        <v>2531</v>
      </c>
      <c r="H384" s="122" t="s">
        <v>1852</v>
      </c>
    </row>
    <row r="385" spans="1:8" x14ac:dyDescent="0.2">
      <c r="A385" s="194"/>
      <c r="B385" s="199" t="s">
        <v>3039</v>
      </c>
      <c r="C385" s="282" t="s">
        <v>2704</v>
      </c>
      <c r="D385" s="122" t="s">
        <v>2703</v>
      </c>
      <c r="E385" s="122" t="s">
        <v>2704</v>
      </c>
      <c r="F385" s="118" t="s">
        <v>2259</v>
      </c>
      <c r="G385" s="122" t="s">
        <v>555</v>
      </c>
      <c r="H385" s="122" t="s">
        <v>1853</v>
      </c>
    </row>
    <row r="386" spans="1:8" x14ac:dyDescent="0.2">
      <c r="A386" s="194"/>
      <c r="B386" s="199" t="s">
        <v>3040</v>
      </c>
      <c r="C386" s="282" t="s">
        <v>2706</v>
      </c>
      <c r="D386" s="122" t="s">
        <v>2705</v>
      </c>
      <c r="E386" s="122" t="s">
        <v>2706</v>
      </c>
      <c r="F386" s="118" t="s">
        <v>2479</v>
      </c>
      <c r="G386" s="122" t="s">
        <v>2532</v>
      </c>
      <c r="H386" s="122" t="s">
        <v>1854</v>
      </c>
    </row>
    <row r="387" spans="1:8" x14ac:dyDescent="0.2">
      <c r="A387" s="194"/>
      <c r="B387" s="199" t="s">
        <v>3041</v>
      </c>
      <c r="C387" s="282" t="s">
        <v>2709</v>
      </c>
      <c r="D387" s="122" t="s">
        <v>2708</v>
      </c>
      <c r="E387" s="122" t="s">
        <v>2709</v>
      </c>
      <c r="F387" s="118" t="s">
        <v>2260</v>
      </c>
      <c r="G387" s="122" t="s">
        <v>556</v>
      </c>
      <c r="H387" s="122" t="s">
        <v>1855</v>
      </c>
    </row>
    <row r="388" spans="1:8" x14ac:dyDescent="0.2">
      <c r="A388" s="194"/>
      <c r="B388" s="199" t="s">
        <v>3042</v>
      </c>
      <c r="C388" s="282" t="s">
        <v>2711</v>
      </c>
      <c r="D388" s="122" t="s">
        <v>2710</v>
      </c>
      <c r="E388" s="122" t="s">
        <v>2711</v>
      </c>
      <c r="F388" s="118" t="s">
        <v>2480</v>
      </c>
      <c r="G388" s="122" t="s">
        <v>2533</v>
      </c>
      <c r="H388" s="122" t="s">
        <v>1856</v>
      </c>
    </row>
    <row r="389" spans="1:8" x14ac:dyDescent="0.2">
      <c r="A389" s="194"/>
      <c r="B389" s="199" t="s">
        <v>3043</v>
      </c>
      <c r="C389" s="282" t="s">
        <v>1043</v>
      </c>
      <c r="D389" s="122" t="s">
        <v>1042</v>
      </c>
      <c r="E389" s="122" t="s">
        <v>1043</v>
      </c>
      <c r="F389" s="118" t="s">
        <v>2261</v>
      </c>
      <c r="G389" s="122" t="s">
        <v>557</v>
      </c>
      <c r="H389" s="122" t="s">
        <v>1857</v>
      </c>
    </row>
    <row r="390" spans="1:8" ht="25.5" x14ac:dyDescent="0.2">
      <c r="A390" s="194"/>
      <c r="B390" s="199" t="s">
        <v>3044</v>
      </c>
      <c r="C390" s="282" t="s">
        <v>1045</v>
      </c>
      <c r="D390" s="122" t="s">
        <v>1044</v>
      </c>
      <c r="E390" s="122" t="s">
        <v>1045</v>
      </c>
      <c r="F390" s="118" t="s">
        <v>2481</v>
      </c>
      <c r="G390" s="122" t="s">
        <v>2534</v>
      </c>
      <c r="H390" s="122" t="s">
        <v>1858</v>
      </c>
    </row>
    <row r="391" spans="1:8" x14ac:dyDescent="0.2">
      <c r="A391" s="194"/>
      <c r="B391" s="199" t="s">
        <v>3045</v>
      </c>
      <c r="C391" s="282" t="s">
        <v>147</v>
      </c>
      <c r="D391" s="122" t="s">
        <v>148</v>
      </c>
      <c r="E391" s="122" t="s">
        <v>147</v>
      </c>
      <c r="F391" s="118" t="s">
        <v>2262</v>
      </c>
      <c r="G391" s="122" t="s">
        <v>558</v>
      </c>
      <c r="H391" s="122" t="s">
        <v>1859</v>
      </c>
    </row>
    <row r="392" spans="1:8" ht="25.5" x14ac:dyDescent="0.2">
      <c r="A392" s="194"/>
      <c r="B392" s="199" t="s">
        <v>3046</v>
      </c>
      <c r="C392" s="282" t="s">
        <v>149</v>
      </c>
      <c r="D392" s="122" t="s">
        <v>150</v>
      </c>
      <c r="E392" s="122" t="s">
        <v>149</v>
      </c>
      <c r="F392" s="118" t="s">
        <v>2482</v>
      </c>
      <c r="G392" s="122" t="s">
        <v>2535</v>
      </c>
      <c r="H392" s="122" t="s">
        <v>1860</v>
      </c>
    </row>
    <row r="393" spans="1:8" x14ac:dyDescent="0.2">
      <c r="A393" s="194"/>
      <c r="B393" s="199" t="s">
        <v>3047</v>
      </c>
      <c r="C393" s="282" t="s">
        <v>12</v>
      </c>
      <c r="D393" s="122" t="s">
        <v>11</v>
      </c>
      <c r="E393" s="122" t="s">
        <v>12</v>
      </c>
      <c r="F393" s="118" t="s">
        <v>2263</v>
      </c>
      <c r="G393" s="122" t="s">
        <v>559</v>
      </c>
      <c r="H393" s="122" t="s">
        <v>1861</v>
      </c>
    </row>
    <row r="394" spans="1:8" ht="25.5" x14ac:dyDescent="0.2">
      <c r="A394" s="194"/>
      <c r="B394" s="199" t="s">
        <v>3048</v>
      </c>
      <c r="C394" s="282" t="s">
        <v>14</v>
      </c>
      <c r="D394" s="122" t="s">
        <v>13</v>
      </c>
      <c r="E394" s="122" t="s">
        <v>14</v>
      </c>
      <c r="F394" s="118" t="s">
        <v>2483</v>
      </c>
      <c r="G394" s="122" t="s">
        <v>2536</v>
      </c>
      <c r="H394" s="122" t="s">
        <v>1862</v>
      </c>
    </row>
    <row r="395" spans="1:8" x14ac:dyDescent="0.2">
      <c r="A395" s="194"/>
      <c r="B395" s="199" t="s">
        <v>3049</v>
      </c>
      <c r="C395" s="282" t="s">
        <v>2598</v>
      </c>
      <c r="D395" s="122" t="s">
        <v>2597</v>
      </c>
      <c r="E395" s="122" t="s">
        <v>2598</v>
      </c>
      <c r="F395" s="118" t="s">
        <v>2264</v>
      </c>
      <c r="G395" s="122" t="s">
        <v>560</v>
      </c>
      <c r="H395" s="122" t="s">
        <v>1863</v>
      </c>
    </row>
    <row r="396" spans="1:8" ht="25.5" x14ac:dyDescent="0.2">
      <c r="A396" s="194"/>
      <c r="B396" s="199" t="s">
        <v>3050</v>
      </c>
      <c r="C396" s="282" t="s">
        <v>153</v>
      </c>
      <c r="D396" s="122" t="s">
        <v>2599</v>
      </c>
      <c r="E396" s="122" t="s">
        <v>153</v>
      </c>
      <c r="F396" s="118" t="s">
        <v>2484</v>
      </c>
      <c r="G396" s="122" t="s">
        <v>2537</v>
      </c>
      <c r="H396" s="122" t="s">
        <v>1864</v>
      </c>
    </row>
    <row r="397" spans="1:8" x14ac:dyDescent="0.2">
      <c r="A397" s="194"/>
      <c r="B397" s="199" t="s">
        <v>3051</v>
      </c>
      <c r="C397" s="282" t="s">
        <v>1019</v>
      </c>
      <c r="D397" s="122" t="s">
        <v>1018</v>
      </c>
      <c r="E397" s="122" t="s">
        <v>1019</v>
      </c>
      <c r="F397" s="118" t="s">
        <v>2265</v>
      </c>
      <c r="G397" s="122" t="s">
        <v>561</v>
      </c>
      <c r="H397" s="122" t="s">
        <v>1865</v>
      </c>
    </row>
    <row r="398" spans="1:8" ht="25.5" x14ac:dyDescent="0.2">
      <c r="A398" s="194"/>
      <c r="B398" s="199" t="s">
        <v>3052</v>
      </c>
      <c r="C398" s="282" t="s">
        <v>1021</v>
      </c>
      <c r="D398" s="122" t="s">
        <v>1020</v>
      </c>
      <c r="E398" s="122" t="s">
        <v>1021</v>
      </c>
      <c r="F398" s="118" t="s">
        <v>2542</v>
      </c>
      <c r="G398" s="122" t="s">
        <v>2538</v>
      </c>
      <c r="H398" s="122" t="s">
        <v>1866</v>
      </c>
    </row>
    <row r="399" spans="1:8" x14ac:dyDescent="0.2">
      <c r="A399" s="194"/>
      <c r="B399" s="199" t="s">
        <v>3189</v>
      </c>
      <c r="C399" s="282" t="s">
        <v>3411</v>
      </c>
      <c r="D399" s="122" t="s">
        <v>3410</v>
      </c>
      <c r="E399" s="122" t="s">
        <v>3411</v>
      </c>
      <c r="F399" s="118" t="s">
        <v>3412</v>
      </c>
      <c r="G399" s="122" t="s">
        <v>3413</v>
      </c>
      <c r="H399" s="122" t="s">
        <v>3414</v>
      </c>
    </row>
    <row r="400" spans="1:8" x14ac:dyDescent="0.2">
      <c r="A400" s="194"/>
      <c r="B400" s="199" t="s">
        <v>3190</v>
      </c>
      <c r="C400" s="282" t="s">
        <v>3280</v>
      </c>
      <c r="D400" s="122" t="s">
        <v>3254</v>
      </c>
      <c r="E400" s="122" t="s">
        <v>3280</v>
      </c>
      <c r="F400" s="118" t="s">
        <v>3306</v>
      </c>
      <c r="G400" s="122" t="s">
        <v>3332</v>
      </c>
      <c r="H400" s="122" t="s">
        <v>3358</v>
      </c>
    </row>
    <row r="401" spans="1:8" x14ac:dyDescent="0.2">
      <c r="A401" s="194"/>
      <c r="B401" s="199" t="s">
        <v>3191</v>
      </c>
      <c r="C401" s="282" t="s">
        <v>3416</v>
      </c>
      <c r="D401" s="122" t="s">
        <v>3415</v>
      </c>
      <c r="E401" s="122" t="s">
        <v>3416</v>
      </c>
      <c r="F401" s="118" t="s">
        <v>3417</v>
      </c>
      <c r="G401" s="122" t="s">
        <v>3418</v>
      </c>
      <c r="H401" s="122" t="s">
        <v>3419</v>
      </c>
    </row>
    <row r="402" spans="1:8" x14ac:dyDescent="0.2">
      <c r="A402" s="194"/>
      <c r="B402" s="199" t="s">
        <v>3192</v>
      </c>
      <c r="C402" s="282" t="s">
        <v>3281</v>
      </c>
      <c r="D402" s="122" t="s">
        <v>3255</v>
      </c>
      <c r="E402" s="122" t="s">
        <v>3281</v>
      </c>
      <c r="F402" s="118" t="s">
        <v>3307</v>
      </c>
      <c r="G402" s="122" t="s">
        <v>3333</v>
      </c>
      <c r="H402" s="122" t="s">
        <v>3359</v>
      </c>
    </row>
    <row r="403" spans="1:8" x14ac:dyDescent="0.2">
      <c r="A403" s="194"/>
      <c r="B403" s="199" t="s">
        <v>3193</v>
      </c>
      <c r="C403" s="282" t="s">
        <v>3421</v>
      </c>
      <c r="D403" s="122" t="s">
        <v>3420</v>
      </c>
      <c r="E403" s="122" t="s">
        <v>3421</v>
      </c>
      <c r="F403" s="118" t="s">
        <v>3422</v>
      </c>
      <c r="G403" s="122" t="s">
        <v>3423</v>
      </c>
      <c r="H403" s="122" t="s">
        <v>3424</v>
      </c>
    </row>
    <row r="404" spans="1:8" x14ac:dyDescent="0.2">
      <c r="A404" s="194"/>
      <c r="B404" s="199" t="s">
        <v>3194</v>
      </c>
      <c r="C404" s="282" t="s">
        <v>3282</v>
      </c>
      <c r="D404" s="122" t="s">
        <v>3256</v>
      </c>
      <c r="E404" s="122" t="s">
        <v>3282</v>
      </c>
      <c r="F404" s="118" t="s">
        <v>3308</v>
      </c>
      <c r="G404" s="122" t="s">
        <v>3334</v>
      </c>
      <c r="H404" s="122" t="s">
        <v>3360</v>
      </c>
    </row>
    <row r="405" spans="1:8" x14ac:dyDescent="0.2">
      <c r="A405" s="194"/>
      <c r="B405" s="199" t="s">
        <v>3053</v>
      </c>
      <c r="C405" s="282" t="s">
        <v>1372</v>
      </c>
      <c r="D405" s="122" t="s">
        <v>1371</v>
      </c>
      <c r="E405" s="122" t="s">
        <v>1372</v>
      </c>
      <c r="F405" s="118" t="s">
        <v>2304</v>
      </c>
      <c r="G405" s="122" t="s">
        <v>1414</v>
      </c>
      <c r="H405" s="122" t="s">
        <v>1867</v>
      </c>
    </row>
    <row r="406" spans="1:8" x14ac:dyDescent="0.2">
      <c r="A406" s="194"/>
      <c r="B406" s="199" t="s">
        <v>3054</v>
      </c>
      <c r="C406" s="282" t="s">
        <v>1374</v>
      </c>
      <c r="D406" s="122" t="s">
        <v>1373</v>
      </c>
      <c r="E406" s="122" t="s">
        <v>1374</v>
      </c>
      <c r="F406" s="118" t="s">
        <v>2543</v>
      </c>
      <c r="G406" s="122" t="s">
        <v>2539</v>
      </c>
      <c r="H406" s="122" t="s">
        <v>1868</v>
      </c>
    </row>
    <row r="407" spans="1:8" x14ac:dyDescent="0.2">
      <c r="A407" s="194"/>
      <c r="B407" s="199" t="s">
        <v>3055</v>
      </c>
      <c r="C407" s="282" t="s">
        <v>2713</v>
      </c>
      <c r="D407" s="122" t="s">
        <v>2712</v>
      </c>
      <c r="E407" s="122" t="s">
        <v>2713</v>
      </c>
      <c r="F407" s="118" t="s">
        <v>2305</v>
      </c>
      <c r="G407" s="122" t="s">
        <v>1415</v>
      </c>
      <c r="H407" s="122" t="s">
        <v>1869</v>
      </c>
    </row>
    <row r="408" spans="1:8" x14ac:dyDescent="0.2">
      <c r="A408" s="194"/>
      <c r="B408" s="199" t="s">
        <v>3056</v>
      </c>
      <c r="C408" s="282" t="s">
        <v>2463</v>
      </c>
      <c r="D408" s="122" t="s">
        <v>2714</v>
      </c>
      <c r="E408" s="122" t="s">
        <v>2463</v>
      </c>
      <c r="F408" s="118" t="s">
        <v>2544</v>
      </c>
      <c r="G408" s="122" t="s">
        <v>2540</v>
      </c>
      <c r="H408" s="122" t="s">
        <v>1870</v>
      </c>
    </row>
    <row r="409" spans="1:8" x14ac:dyDescent="0.2">
      <c r="A409" s="194"/>
      <c r="B409" s="199" t="s">
        <v>3117</v>
      </c>
      <c r="C409" s="282" t="s">
        <v>3131</v>
      </c>
      <c r="D409" s="122" t="s">
        <v>3125</v>
      </c>
      <c r="E409" s="122" t="s">
        <v>3131</v>
      </c>
      <c r="F409" s="118" t="s">
        <v>3133</v>
      </c>
      <c r="G409" s="122" t="s">
        <v>3137</v>
      </c>
      <c r="H409" s="122" t="s">
        <v>3141</v>
      </c>
    </row>
    <row r="410" spans="1:8" x14ac:dyDescent="0.2">
      <c r="A410" s="194"/>
      <c r="B410" s="199" t="s">
        <v>3118</v>
      </c>
      <c r="C410" s="282" t="s">
        <v>3132</v>
      </c>
      <c r="D410" s="122" t="s">
        <v>3126</v>
      </c>
      <c r="E410" s="122" t="s">
        <v>3132</v>
      </c>
      <c r="F410" s="118" t="s">
        <v>3134</v>
      </c>
      <c r="G410" s="122" t="s">
        <v>3138</v>
      </c>
      <c r="H410" s="122" t="s">
        <v>3142</v>
      </c>
    </row>
    <row r="411" spans="1:8" x14ac:dyDescent="0.2">
      <c r="A411" s="194"/>
      <c r="B411" s="199" t="s">
        <v>3195</v>
      </c>
      <c r="C411" s="282" t="s">
        <v>3426</v>
      </c>
      <c r="D411" s="122" t="s">
        <v>3425</v>
      </c>
      <c r="E411" s="122" t="s">
        <v>3426</v>
      </c>
      <c r="F411" s="118" t="s">
        <v>3427</v>
      </c>
      <c r="G411" s="122" t="s">
        <v>3428</v>
      </c>
      <c r="H411" s="122" t="s">
        <v>3429</v>
      </c>
    </row>
    <row r="412" spans="1:8" x14ac:dyDescent="0.2">
      <c r="A412" s="194"/>
      <c r="B412" s="199" t="s">
        <v>3196</v>
      </c>
      <c r="C412" s="282" t="s">
        <v>3283</v>
      </c>
      <c r="D412" s="122" t="s">
        <v>3257</v>
      </c>
      <c r="E412" s="122" t="s">
        <v>3283</v>
      </c>
      <c r="F412" s="118" t="s">
        <v>3309</v>
      </c>
      <c r="G412" s="122" t="s">
        <v>3335</v>
      </c>
      <c r="H412" s="122" t="s">
        <v>3361</v>
      </c>
    </row>
    <row r="413" spans="1:8" x14ac:dyDescent="0.2">
      <c r="A413" s="194"/>
      <c r="B413" s="199" t="s">
        <v>3197</v>
      </c>
      <c r="C413" s="282" t="s">
        <v>3431</v>
      </c>
      <c r="D413" s="122" t="s">
        <v>3430</v>
      </c>
      <c r="E413" s="122" t="s">
        <v>3431</v>
      </c>
      <c r="F413" s="118" t="s">
        <v>3432</v>
      </c>
      <c r="G413" s="122" t="s">
        <v>3433</v>
      </c>
      <c r="H413" s="122" t="s">
        <v>3434</v>
      </c>
    </row>
    <row r="414" spans="1:8" x14ac:dyDescent="0.2">
      <c r="A414" s="194"/>
      <c r="B414" s="199" t="s">
        <v>3198</v>
      </c>
      <c r="C414" s="282" t="s">
        <v>3284</v>
      </c>
      <c r="D414" s="122" t="s">
        <v>3258</v>
      </c>
      <c r="E414" s="122" t="s">
        <v>3284</v>
      </c>
      <c r="F414" s="118" t="s">
        <v>3310</v>
      </c>
      <c r="G414" s="122" t="s">
        <v>3336</v>
      </c>
      <c r="H414" s="122" t="s">
        <v>3362</v>
      </c>
    </row>
    <row r="415" spans="1:8" x14ac:dyDescent="0.2">
      <c r="A415" s="194"/>
      <c r="B415" s="199" t="s">
        <v>3199</v>
      </c>
      <c r="C415" s="282" t="s">
        <v>3436</v>
      </c>
      <c r="D415" s="122" t="s">
        <v>3435</v>
      </c>
      <c r="E415" s="122" t="s">
        <v>3436</v>
      </c>
      <c r="F415" s="118" t="s">
        <v>3437</v>
      </c>
      <c r="G415" s="122" t="s">
        <v>3438</v>
      </c>
      <c r="H415" s="122" t="s">
        <v>3439</v>
      </c>
    </row>
    <row r="416" spans="1:8" x14ac:dyDescent="0.2">
      <c r="A416" s="194"/>
      <c r="B416" s="199" t="s">
        <v>3200</v>
      </c>
      <c r="C416" s="282" t="s">
        <v>3285</v>
      </c>
      <c r="D416" s="122" t="s">
        <v>3259</v>
      </c>
      <c r="E416" s="122" t="s">
        <v>3285</v>
      </c>
      <c r="F416" s="118" t="s">
        <v>3311</v>
      </c>
      <c r="G416" s="122" t="s">
        <v>3337</v>
      </c>
      <c r="H416" s="122" t="s">
        <v>3363</v>
      </c>
    </row>
    <row r="417" spans="1:8" x14ac:dyDescent="0.2">
      <c r="A417" s="194"/>
      <c r="B417" s="199" t="s">
        <v>3119</v>
      </c>
      <c r="C417" s="282" t="s">
        <v>3129</v>
      </c>
      <c r="D417" s="122" t="s">
        <v>3127</v>
      </c>
      <c r="E417" s="122" t="s">
        <v>3129</v>
      </c>
      <c r="F417" s="118" t="s">
        <v>3135</v>
      </c>
      <c r="G417" s="122" t="s">
        <v>3139</v>
      </c>
      <c r="H417" s="122" t="s">
        <v>3143</v>
      </c>
    </row>
    <row r="418" spans="1:8" x14ac:dyDescent="0.2">
      <c r="A418" s="194"/>
      <c r="B418" s="199" t="s">
        <v>3120</v>
      </c>
      <c r="C418" s="282" t="s">
        <v>3130</v>
      </c>
      <c r="D418" s="122" t="s">
        <v>3128</v>
      </c>
      <c r="E418" s="122" t="s">
        <v>3130</v>
      </c>
      <c r="F418" s="118" t="s">
        <v>3136</v>
      </c>
      <c r="G418" s="122" t="s">
        <v>3140</v>
      </c>
      <c r="H418" s="122" t="s">
        <v>3144</v>
      </c>
    </row>
    <row r="419" spans="1:8" x14ac:dyDescent="0.2">
      <c r="A419" s="194"/>
      <c r="B419" s="199" t="s">
        <v>3057</v>
      </c>
      <c r="C419" s="282" t="s">
        <v>1047</v>
      </c>
      <c r="D419" s="122" t="s">
        <v>1046</v>
      </c>
      <c r="E419" s="122" t="s">
        <v>1047</v>
      </c>
      <c r="F419" s="118" t="s">
        <v>2306</v>
      </c>
      <c r="G419" s="122" t="s">
        <v>1416</v>
      </c>
      <c r="H419" s="122" t="s">
        <v>1871</v>
      </c>
    </row>
    <row r="420" spans="1:8" ht="25.5" x14ac:dyDescent="0.2">
      <c r="A420" s="194"/>
      <c r="B420" s="199" t="s">
        <v>3058</v>
      </c>
      <c r="C420" s="282" t="s">
        <v>1049</v>
      </c>
      <c r="D420" s="122" t="s">
        <v>1048</v>
      </c>
      <c r="E420" s="122" t="s">
        <v>1049</v>
      </c>
      <c r="F420" s="118" t="s">
        <v>2545</v>
      </c>
      <c r="G420" s="122" t="s">
        <v>2541</v>
      </c>
      <c r="H420" s="122" t="s">
        <v>1872</v>
      </c>
    </row>
    <row r="421" spans="1:8" x14ac:dyDescent="0.2">
      <c r="A421" s="194"/>
      <c r="B421" s="199" t="s">
        <v>3059</v>
      </c>
      <c r="C421" s="282" t="s">
        <v>1243</v>
      </c>
      <c r="D421" s="122" t="s">
        <v>1244</v>
      </c>
      <c r="E421" s="122" t="s">
        <v>1243</v>
      </c>
      <c r="F421" s="118" t="s">
        <v>2307</v>
      </c>
      <c r="G421" s="122" t="s">
        <v>1062</v>
      </c>
      <c r="H421" s="122" t="s">
        <v>1873</v>
      </c>
    </row>
    <row r="422" spans="1:8" ht="25.5" x14ac:dyDescent="0.2">
      <c r="A422" s="194"/>
      <c r="B422" s="199" t="s">
        <v>3060</v>
      </c>
      <c r="C422" s="282" t="s">
        <v>151</v>
      </c>
      <c r="D422" s="122" t="s">
        <v>152</v>
      </c>
      <c r="E422" s="122" t="s">
        <v>151</v>
      </c>
      <c r="F422" s="118" t="s">
        <v>2546</v>
      </c>
      <c r="G422" s="122" t="s">
        <v>1840</v>
      </c>
      <c r="H422" s="122" t="s">
        <v>1874</v>
      </c>
    </row>
    <row r="423" spans="1:8" x14ac:dyDescent="0.2">
      <c r="A423" s="194"/>
      <c r="B423" s="199" t="s">
        <v>3061</v>
      </c>
      <c r="C423" s="282" t="s">
        <v>16</v>
      </c>
      <c r="D423" s="122" t="s">
        <v>15</v>
      </c>
      <c r="E423" s="122" t="s">
        <v>16</v>
      </c>
      <c r="F423" s="118" t="s">
        <v>2308</v>
      </c>
      <c r="G423" s="122" t="s">
        <v>1790</v>
      </c>
      <c r="H423" s="122" t="s">
        <v>1875</v>
      </c>
    </row>
    <row r="424" spans="1:8" ht="25.5" x14ac:dyDescent="0.2">
      <c r="A424" s="194"/>
      <c r="B424" s="199" t="s">
        <v>3062</v>
      </c>
      <c r="C424" s="282" t="s">
        <v>18</v>
      </c>
      <c r="D424" s="122" t="s">
        <v>17</v>
      </c>
      <c r="E424" s="122" t="s">
        <v>18</v>
      </c>
      <c r="F424" s="118" t="s">
        <v>2547</v>
      </c>
      <c r="G424" s="122" t="s">
        <v>1841</v>
      </c>
      <c r="H424" s="122" t="s">
        <v>1876</v>
      </c>
    </row>
    <row r="425" spans="1:8" x14ac:dyDescent="0.2">
      <c r="A425" s="194"/>
      <c r="B425" s="199" t="s">
        <v>3063</v>
      </c>
      <c r="C425" s="282" t="s">
        <v>155</v>
      </c>
      <c r="D425" s="122" t="s">
        <v>154</v>
      </c>
      <c r="E425" s="122" t="s">
        <v>155</v>
      </c>
      <c r="F425" s="118" t="s">
        <v>2309</v>
      </c>
      <c r="G425" s="122" t="s">
        <v>1791</v>
      </c>
      <c r="H425" s="122" t="s">
        <v>1877</v>
      </c>
    </row>
    <row r="426" spans="1:8" ht="25.5" x14ac:dyDescent="0.2">
      <c r="A426" s="194"/>
      <c r="B426" s="199" t="s">
        <v>3064</v>
      </c>
      <c r="C426" s="282" t="s">
        <v>157</v>
      </c>
      <c r="D426" s="122" t="s">
        <v>156</v>
      </c>
      <c r="E426" s="122" t="s">
        <v>157</v>
      </c>
      <c r="F426" s="118" t="s">
        <v>2548</v>
      </c>
      <c r="G426" s="122" t="s">
        <v>2668</v>
      </c>
      <c r="H426" s="122" t="s">
        <v>1878</v>
      </c>
    </row>
    <row r="427" spans="1:8" x14ac:dyDescent="0.2">
      <c r="A427" s="194"/>
      <c r="B427" s="199" t="s">
        <v>3065</v>
      </c>
      <c r="C427" s="282" t="s">
        <v>1023</v>
      </c>
      <c r="D427" s="122" t="s">
        <v>1022</v>
      </c>
      <c r="E427" s="122" t="s">
        <v>1023</v>
      </c>
      <c r="F427" s="118" t="s">
        <v>2310</v>
      </c>
      <c r="G427" s="122" t="s">
        <v>1792</v>
      </c>
      <c r="H427" s="122" t="s">
        <v>1879</v>
      </c>
    </row>
    <row r="428" spans="1:8" ht="25.5" x14ac:dyDescent="0.2">
      <c r="A428" s="194"/>
      <c r="B428" s="199" t="s">
        <v>3066</v>
      </c>
      <c r="C428" s="282" t="s">
        <v>1025</v>
      </c>
      <c r="D428" s="122" t="s">
        <v>1024</v>
      </c>
      <c r="E428" s="122" t="s">
        <v>1025</v>
      </c>
      <c r="F428" s="118" t="s">
        <v>2549</v>
      </c>
      <c r="G428" s="122" t="s">
        <v>2669</v>
      </c>
      <c r="H428" s="122" t="s">
        <v>1880</v>
      </c>
    </row>
    <row r="429" spans="1:8" x14ac:dyDescent="0.2">
      <c r="A429" s="194"/>
      <c r="B429" s="199" t="s">
        <v>3201</v>
      </c>
      <c r="C429" s="282" t="s">
        <v>3441</v>
      </c>
      <c r="D429" s="122" t="s">
        <v>3440</v>
      </c>
      <c r="E429" s="122" t="s">
        <v>3441</v>
      </c>
      <c r="F429" s="118" t="s">
        <v>3442</v>
      </c>
      <c r="G429" s="122" t="s">
        <v>3443</v>
      </c>
      <c r="H429" s="122" t="s">
        <v>3444</v>
      </c>
    </row>
    <row r="430" spans="1:8" x14ac:dyDescent="0.2">
      <c r="A430" s="194"/>
      <c r="B430" s="199" t="s">
        <v>3202</v>
      </c>
      <c r="C430" s="282" t="s">
        <v>3286</v>
      </c>
      <c r="D430" s="122" t="s">
        <v>3260</v>
      </c>
      <c r="E430" s="122" t="s">
        <v>3286</v>
      </c>
      <c r="F430" s="118" t="s">
        <v>3312</v>
      </c>
      <c r="G430" s="122" t="s">
        <v>3338</v>
      </c>
      <c r="H430" s="122" t="s">
        <v>3364</v>
      </c>
    </row>
    <row r="431" spans="1:8" x14ac:dyDescent="0.2">
      <c r="A431" s="194"/>
      <c r="B431" s="199" t="s">
        <v>3203</v>
      </c>
      <c r="C431" s="282" t="s">
        <v>3446</v>
      </c>
      <c r="D431" s="122" t="s">
        <v>3445</v>
      </c>
      <c r="E431" s="122" t="s">
        <v>3446</v>
      </c>
      <c r="F431" s="118" t="s">
        <v>3447</v>
      </c>
      <c r="G431" s="122" t="s">
        <v>3448</v>
      </c>
      <c r="H431" s="122" t="s">
        <v>3449</v>
      </c>
    </row>
    <row r="432" spans="1:8" x14ac:dyDescent="0.2">
      <c r="A432" s="194"/>
      <c r="B432" s="199" t="s">
        <v>3204</v>
      </c>
      <c r="C432" s="282" t="s">
        <v>3287</v>
      </c>
      <c r="D432" s="122" t="s">
        <v>3261</v>
      </c>
      <c r="E432" s="122" t="s">
        <v>3287</v>
      </c>
      <c r="F432" s="118" t="s">
        <v>3313</v>
      </c>
      <c r="G432" s="122" t="s">
        <v>3339</v>
      </c>
      <c r="H432" s="122" t="s">
        <v>3365</v>
      </c>
    </row>
    <row r="433" spans="1:8" x14ac:dyDescent="0.2">
      <c r="A433" s="194"/>
      <c r="B433" s="199" t="s">
        <v>3205</v>
      </c>
      <c r="C433" s="282" t="s">
        <v>3451</v>
      </c>
      <c r="D433" s="122" t="s">
        <v>3450</v>
      </c>
      <c r="E433" s="122" t="s">
        <v>3451</v>
      </c>
      <c r="F433" s="118" t="s">
        <v>3452</v>
      </c>
      <c r="G433" s="122" t="s">
        <v>3453</v>
      </c>
      <c r="H433" s="122" t="s">
        <v>3454</v>
      </c>
    </row>
    <row r="434" spans="1:8" x14ac:dyDescent="0.2">
      <c r="A434" s="194"/>
      <c r="B434" s="199" t="s">
        <v>3206</v>
      </c>
      <c r="C434" s="282" t="s">
        <v>3288</v>
      </c>
      <c r="D434" s="122" t="s">
        <v>3262</v>
      </c>
      <c r="E434" s="122" t="s">
        <v>3288</v>
      </c>
      <c r="F434" s="118" t="s">
        <v>3314</v>
      </c>
      <c r="G434" s="122" t="s">
        <v>3340</v>
      </c>
      <c r="H434" s="122" t="s">
        <v>3366</v>
      </c>
    </row>
    <row r="435" spans="1:8" x14ac:dyDescent="0.2">
      <c r="A435" s="194"/>
      <c r="B435" s="199" t="s">
        <v>3067</v>
      </c>
      <c r="C435" s="282" t="s">
        <v>1376</v>
      </c>
      <c r="D435" s="122" t="s">
        <v>1375</v>
      </c>
      <c r="E435" s="122" t="s">
        <v>1376</v>
      </c>
      <c r="F435" s="118" t="s">
        <v>2311</v>
      </c>
      <c r="G435" s="122" t="s">
        <v>1793</v>
      </c>
      <c r="H435" s="122" t="s">
        <v>1881</v>
      </c>
    </row>
    <row r="436" spans="1:8" x14ac:dyDescent="0.2">
      <c r="A436" s="194"/>
      <c r="B436" s="199" t="s">
        <v>3068</v>
      </c>
      <c r="C436" s="282" t="s">
        <v>2365</v>
      </c>
      <c r="D436" s="122" t="s">
        <v>2364</v>
      </c>
      <c r="E436" s="122" t="s">
        <v>2365</v>
      </c>
      <c r="F436" s="118" t="s">
        <v>2550</v>
      </c>
      <c r="G436" s="122" t="s">
        <v>2670</v>
      </c>
      <c r="H436" s="122" t="s">
        <v>1882</v>
      </c>
    </row>
    <row r="437" spans="1:8" x14ac:dyDescent="0.2">
      <c r="A437" s="194"/>
      <c r="B437" s="199" t="s">
        <v>3069</v>
      </c>
      <c r="C437" s="282" t="s">
        <v>2291</v>
      </c>
      <c r="D437" s="122" t="s">
        <v>2464</v>
      </c>
      <c r="E437" s="122" t="s">
        <v>2291</v>
      </c>
      <c r="F437" s="118" t="s">
        <v>2312</v>
      </c>
      <c r="G437" s="122" t="s">
        <v>1794</v>
      </c>
      <c r="H437" s="122" t="s">
        <v>1055</v>
      </c>
    </row>
    <row r="438" spans="1:8" x14ac:dyDescent="0.2">
      <c r="A438" s="194"/>
      <c r="B438" s="199" t="s">
        <v>3070</v>
      </c>
      <c r="C438" s="282" t="s">
        <v>2293</v>
      </c>
      <c r="D438" s="122" t="s">
        <v>2292</v>
      </c>
      <c r="E438" s="122" t="s">
        <v>2293</v>
      </c>
      <c r="F438" s="118" t="s">
        <v>2551</v>
      </c>
      <c r="G438" s="122" t="s">
        <v>2671</v>
      </c>
      <c r="H438" s="122" t="s">
        <v>1056</v>
      </c>
    </row>
    <row r="439" spans="1:8" x14ac:dyDescent="0.2">
      <c r="A439" s="194"/>
      <c r="B439" s="199" t="s">
        <v>3071</v>
      </c>
      <c r="C439" s="282" t="s">
        <v>1051</v>
      </c>
      <c r="D439" s="122" t="s">
        <v>1050</v>
      </c>
      <c r="E439" s="122" t="s">
        <v>1051</v>
      </c>
      <c r="F439" s="118" t="s">
        <v>2313</v>
      </c>
      <c r="G439" s="122" t="s">
        <v>1780</v>
      </c>
      <c r="H439" s="122" t="s">
        <v>1057</v>
      </c>
    </row>
    <row r="440" spans="1:8" ht="25.5" x14ac:dyDescent="0.2">
      <c r="A440" s="194"/>
      <c r="B440" s="199" t="s">
        <v>3072</v>
      </c>
      <c r="C440" s="282" t="s">
        <v>1053</v>
      </c>
      <c r="D440" s="122" t="s">
        <v>1052</v>
      </c>
      <c r="E440" s="122" t="s">
        <v>1053</v>
      </c>
      <c r="F440" s="118" t="s">
        <v>2552</v>
      </c>
      <c r="G440" s="122" t="s">
        <v>2672</v>
      </c>
      <c r="H440" s="122" t="s">
        <v>1058</v>
      </c>
    </row>
    <row r="441" spans="1:8" x14ac:dyDescent="0.2">
      <c r="A441" s="194"/>
      <c r="B441" s="199" t="s">
        <v>3073</v>
      </c>
      <c r="C441" s="282" t="s">
        <v>276</v>
      </c>
      <c r="D441" s="122" t="s">
        <v>277</v>
      </c>
      <c r="E441" s="122" t="s">
        <v>276</v>
      </c>
      <c r="F441" s="118" t="s">
        <v>2314</v>
      </c>
      <c r="G441" s="122" t="s">
        <v>1781</v>
      </c>
      <c r="H441" s="122" t="s">
        <v>2707</v>
      </c>
    </row>
    <row r="442" spans="1:8" ht="25.5" x14ac:dyDescent="0.2">
      <c r="A442" s="194"/>
      <c r="B442" s="199" t="s">
        <v>3074</v>
      </c>
      <c r="C442" s="282" t="s">
        <v>278</v>
      </c>
      <c r="D442" s="122" t="s">
        <v>279</v>
      </c>
      <c r="E442" s="122" t="s">
        <v>278</v>
      </c>
      <c r="F442" s="118" t="s">
        <v>2553</v>
      </c>
      <c r="G442" s="122" t="s">
        <v>2673</v>
      </c>
      <c r="H442" s="122" t="s">
        <v>1170</v>
      </c>
    </row>
    <row r="443" spans="1:8" x14ac:dyDescent="0.2">
      <c r="A443" s="194"/>
      <c r="B443" s="199" t="s">
        <v>3075</v>
      </c>
      <c r="C443" s="282" t="s">
        <v>20</v>
      </c>
      <c r="D443" s="122" t="s">
        <v>19</v>
      </c>
      <c r="E443" s="122" t="s">
        <v>20</v>
      </c>
      <c r="F443" s="118" t="s">
        <v>2315</v>
      </c>
      <c r="G443" s="122" t="s">
        <v>1782</v>
      </c>
      <c r="H443" s="122" t="s">
        <v>1171</v>
      </c>
    </row>
    <row r="444" spans="1:8" ht="25.5" x14ac:dyDescent="0.2">
      <c r="A444" s="194"/>
      <c r="B444" s="199" t="s">
        <v>3076</v>
      </c>
      <c r="C444" s="282" t="s">
        <v>2581</v>
      </c>
      <c r="D444" s="122" t="s">
        <v>2580</v>
      </c>
      <c r="E444" s="122" t="s">
        <v>2581</v>
      </c>
      <c r="F444" s="118" t="s">
        <v>2554</v>
      </c>
      <c r="G444" s="122" t="s">
        <v>2674</v>
      </c>
      <c r="H444" s="122" t="s">
        <v>1172</v>
      </c>
    </row>
    <row r="445" spans="1:8" x14ac:dyDescent="0.2">
      <c r="A445" s="194"/>
      <c r="B445" s="199" t="s">
        <v>3077</v>
      </c>
      <c r="C445" s="282" t="s">
        <v>159</v>
      </c>
      <c r="D445" s="122" t="s">
        <v>158</v>
      </c>
      <c r="E445" s="122" t="s">
        <v>159</v>
      </c>
      <c r="F445" s="118" t="s">
        <v>2316</v>
      </c>
      <c r="G445" s="122" t="s">
        <v>1783</v>
      </c>
      <c r="H445" s="122" t="s">
        <v>1173</v>
      </c>
    </row>
    <row r="446" spans="1:8" ht="25.5" x14ac:dyDescent="0.2">
      <c r="A446" s="194"/>
      <c r="B446" s="199" t="s">
        <v>3078</v>
      </c>
      <c r="C446" s="282" t="s">
        <v>161</v>
      </c>
      <c r="D446" s="122" t="s">
        <v>160</v>
      </c>
      <c r="E446" s="122" t="s">
        <v>161</v>
      </c>
      <c r="F446" s="118" t="s">
        <v>2555</v>
      </c>
      <c r="G446" s="122" t="s">
        <v>2675</v>
      </c>
      <c r="H446" s="122" t="s">
        <v>1174</v>
      </c>
    </row>
    <row r="447" spans="1:8" x14ac:dyDescent="0.2">
      <c r="A447" s="194"/>
      <c r="B447" s="199" t="s">
        <v>3079</v>
      </c>
      <c r="C447" s="282" t="s">
        <v>1027</v>
      </c>
      <c r="D447" s="122" t="s">
        <v>1026</v>
      </c>
      <c r="E447" s="122" t="s">
        <v>1027</v>
      </c>
      <c r="F447" s="118" t="s">
        <v>2317</v>
      </c>
      <c r="G447" s="122" t="s">
        <v>1784</v>
      </c>
      <c r="H447" s="122" t="s">
        <v>1175</v>
      </c>
    </row>
    <row r="448" spans="1:8" ht="25.5" x14ac:dyDescent="0.2">
      <c r="A448" s="194"/>
      <c r="B448" s="199" t="s">
        <v>3080</v>
      </c>
      <c r="C448" s="282" t="s">
        <v>1029</v>
      </c>
      <c r="D448" s="122" t="s">
        <v>1028</v>
      </c>
      <c r="E448" s="122" t="s">
        <v>1029</v>
      </c>
      <c r="F448" s="118" t="s">
        <v>2556</v>
      </c>
      <c r="G448" s="122" t="s">
        <v>2676</v>
      </c>
      <c r="H448" s="122" t="s">
        <v>1176</v>
      </c>
    </row>
    <row r="449" spans="1:8" x14ac:dyDescent="0.2">
      <c r="A449" s="194"/>
      <c r="B449" s="199" t="s">
        <v>3207</v>
      </c>
      <c r="C449" s="282" t="s">
        <v>3456</v>
      </c>
      <c r="D449" s="122" t="s">
        <v>3455</v>
      </c>
      <c r="E449" s="122" t="s">
        <v>3456</v>
      </c>
      <c r="F449" s="118" t="s">
        <v>3457</v>
      </c>
      <c r="G449" s="122" t="s">
        <v>3458</v>
      </c>
      <c r="H449" s="122" t="s">
        <v>3459</v>
      </c>
    </row>
    <row r="450" spans="1:8" x14ac:dyDescent="0.2">
      <c r="A450" s="194"/>
      <c r="B450" s="199" t="s">
        <v>3208</v>
      </c>
      <c r="C450" s="282" t="s">
        <v>3289</v>
      </c>
      <c r="D450" s="122" t="s">
        <v>3263</v>
      </c>
      <c r="E450" s="122" t="s">
        <v>3289</v>
      </c>
      <c r="F450" s="118" t="s">
        <v>3315</v>
      </c>
      <c r="G450" s="122" t="s">
        <v>3341</v>
      </c>
      <c r="H450" s="122" t="s">
        <v>3367</v>
      </c>
    </row>
    <row r="451" spans="1:8" x14ac:dyDescent="0.2">
      <c r="A451" s="194"/>
      <c r="B451" s="199" t="s">
        <v>3209</v>
      </c>
      <c r="C451" s="282" t="s">
        <v>3461</v>
      </c>
      <c r="D451" s="122" t="s">
        <v>3460</v>
      </c>
      <c r="E451" s="122" t="s">
        <v>3461</v>
      </c>
      <c r="F451" s="118" t="s">
        <v>3462</v>
      </c>
      <c r="G451" s="122" t="s">
        <v>3463</v>
      </c>
      <c r="H451" s="122" t="s">
        <v>3464</v>
      </c>
    </row>
    <row r="452" spans="1:8" x14ac:dyDescent="0.2">
      <c r="A452" s="194"/>
      <c r="B452" s="199" t="s">
        <v>3210</v>
      </c>
      <c r="C452" s="282" t="s">
        <v>3290</v>
      </c>
      <c r="D452" s="122" t="s">
        <v>3264</v>
      </c>
      <c r="E452" s="122" t="s">
        <v>3290</v>
      </c>
      <c r="F452" s="118" t="s">
        <v>3316</v>
      </c>
      <c r="G452" s="122" t="s">
        <v>3342</v>
      </c>
      <c r="H452" s="122" t="s">
        <v>3368</v>
      </c>
    </row>
    <row r="453" spans="1:8" x14ac:dyDescent="0.2">
      <c r="A453" s="194"/>
      <c r="B453" s="199" t="s">
        <v>3211</v>
      </c>
      <c r="C453" s="282" t="s">
        <v>3466</v>
      </c>
      <c r="D453" s="122" t="s">
        <v>3465</v>
      </c>
      <c r="E453" s="122" t="s">
        <v>3466</v>
      </c>
      <c r="F453" s="118" t="s">
        <v>3467</v>
      </c>
      <c r="G453" s="122" t="s">
        <v>3468</v>
      </c>
      <c r="H453" s="122" t="s">
        <v>3469</v>
      </c>
    </row>
    <row r="454" spans="1:8" x14ac:dyDescent="0.2">
      <c r="A454" s="194"/>
      <c r="B454" s="199" t="s">
        <v>3212</v>
      </c>
      <c r="C454" s="282" t="s">
        <v>3291</v>
      </c>
      <c r="D454" s="122" t="s">
        <v>3265</v>
      </c>
      <c r="E454" s="122" t="s">
        <v>3291</v>
      </c>
      <c r="F454" s="118" t="s">
        <v>3317</v>
      </c>
      <c r="G454" s="122" t="s">
        <v>3343</v>
      </c>
      <c r="H454" s="122" t="s">
        <v>3369</v>
      </c>
    </row>
    <row r="455" spans="1:8" x14ac:dyDescent="0.2">
      <c r="A455" s="194"/>
      <c r="B455" s="199" t="s">
        <v>3081</v>
      </c>
      <c r="C455" s="282" t="s">
        <v>2367</v>
      </c>
      <c r="D455" s="122" t="s">
        <v>2366</v>
      </c>
      <c r="E455" s="122" t="s">
        <v>2367</v>
      </c>
      <c r="F455" s="118" t="s">
        <v>2318</v>
      </c>
      <c r="G455" s="122" t="s">
        <v>1785</v>
      </c>
      <c r="H455" s="122" t="s">
        <v>1177</v>
      </c>
    </row>
    <row r="456" spans="1:8" x14ac:dyDescent="0.2">
      <c r="A456" s="194"/>
      <c r="B456" s="199" t="s">
        <v>3082</v>
      </c>
      <c r="C456" s="282" t="s">
        <v>2369</v>
      </c>
      <c r="D456" s="122" t="s">
        <v>2368</v>
      </c>
      <c r="E456" s="122" t="s">
        <v>2369</v>
      </c>
      <c r="F456" s="118" t="s">
        <v>2557</v>
      </c>
      <c r="G456" s="122" t="s">
        <v>2677</v>
      </c>
      <c r="H456" s="122" t="s">
        <v>1178</v>
      </c>
    </row>
    <row r="457" spans="1:8" x14ac:dyDescent="0.2">
      <c r="A457" s="194"/>
      <c r="B457" s="199" t="s">
        <v>3083</v>
      </c>
      <c r="C457" s="282" t="s">
        <v>2295</v>
      </c>
      <c r="D457" s="122" t="s">
        <v>2294</v>
      </c>
      <c r="E457" s="122" t="s">
        <v>2295</v>
      </c>
      <c r="F457" s="118" t="s">
        <v>2319</v>
      </c>
      <c r="G457" s="122" t="s">
        <v>1786</v>
      </c>
      <c r="H457" s="122" t="s">
        <v>1179</v>
      </c>
    </row>
    <row r="458" spans="1:8" x14ac:dyDescent="0.2">
      <c r="A458" s="194"/>
      <c r="B458" s="199" t="s">
        <v>3084</v>
      </c>
      <c r="C458" s="282" t="s">
        <v>2297</v>
      </c>
      <c r="D458" s="122" t="s">
        <v>2296</v>
      </c>
      <c r="E458" s="122" t="s">
        <v>2297</v>
      </c>
      <c r="F458" s="118" t="s">
        <v>2558</v>
      </c>
      <c r="G458" s="122" t="s">
        <v>2678</v>
      </c>
      <c r="H458" s="122" t="s">
        <v>1180</v>
      </c>
    </row>
    <row r="459" spans="1:8" x14ac:dyDescent="0.2">
      <c r="A459" s="194"/>
      <c r="B459" s="199" t="s">
        <v>3085</v>
      </c>
      <c r="C459" s="282" t="s">
        <v>0</v>
      </c>
      <c r="D459" s="122" t="s">
        <v>1054</v>
      </c>
      <c r="E459" s="122" t="s">
        <v>0</v>
      </c>
      <c r="F459" s="118" t="s">
        <v>2320</v>
      </c>
      <c r="G459" s="122" t="s">
        <v>976</v>
      </c>
      <c r="H459" s="122" t="s">
        <v>1181</v>
      </c>
    </row>
    <row r="460" spans="1:8" ht="25.5" x14ac:dyDescent="0.2">
      <c r="A460" s="194"/>
      <c r="B460" s="199" t="s">
        <v>3086</v>
      </c>
      <c r="C460" s="282" t="s">
        <v>2</v>
      </c>
      <c r="D460" s="122" t="s">
        <v>1</v>
      </c>
      <c r="E460" s="122" t="s">
        <v>2</v>
      </c>
      <c r="F460" s="118" t="s">
        <v>2559</v>
      </c>
      <c r="G460" s="122" t="s">
        <v>2679</v>
      </c>
      <c r="H460" s="122" t="s">
        <v>1182</v>
      </c>
    </row>
    <row r="461" spans="1:8" x14ac:dyDescent="0.2">
      <c r="A461" s="194"/>
      <c r="B461" s="199" t="s">
        <v>3087</v>
      </c>
      <c r="C461" s="282" t="s">
        <v>280</v>
      </c>
      <c r="D461" s="122" t="s">
        <v>281</v>
      </c>
      <c r="E461" s="122" t="s">
        <v>280</v>
      </c>
      <c r="F461" s="118" t="s">
        <v>2321</v>
      </c>
      <c r="G461" s="122" t="s">
        <v>977</v>
      </c>
      <c r="H461" s="122" t="s">
        <v>1183</v>
      </c>
    </row>
    <row r="462" spans="1:8" ht="25.5" x14ac:dyDescent="0.2">
      <c r="A462" s="194"/>
      <c r="B462" s="199" t="s">
        <v>3088</v>
      </c>
      <c r="C462" s="282" t="s">
        <v>282</v>
      </c>
      <c r="D462" s="122" t="s">
        <v>283</v>
      </c>
      <c r="E462" s="122" t="s">
        <v>282</v>
      </c>
      <c r="F462" s="118" t="s">
        <v>2560</v>
      </c>
      <c r="G462" s="122" t="s">
        <v>2680</v>
      </c>
      <c r="H462" s="122" t="s">
        <v>1184</v>
      </c>
    </row>
    <row r="463" spans="1:8" x14ac:dyDescent="0.2">
      <c r="A463" s="194"/>
      <c r="B463" s="199" t="s">
        <v>3089</v>
      </c>
      <c r="C463" s="282" t="s">
        <v>1649</v>
      </c>
      <c r="D463" s="122" t="s">
        <v>1648</v>
      </c>
      <c r="E463" s="122" t="s">
        <v>1649</v>
      </c>
      <c r="F463" s="118" t="s">
        <v>2322</v>
      </c>
      <c r="G463" s="122" t="s">
        <v>978</v>
      </c>
      <c r="H463" s="122" t="s">
        <v>1185</v>
      </c>
    </row>
    <row r="464" spans="1:8" ht="25.5" x14ac:dyDescent="0.2">
      <c r="A464" s="194"/>
      <c r="B464" s="199" t="s">
        <v>3090</v>
      </c>
      <c r="C464" s="282" t="s">
        <v>2575</v>
      </c>
      <c r="D464" s="122" t="s">
        <v>2574</v>
      </c>
      <c r="E464" s="122" t="s">
        <v>2575</v>
      </c>
      <c r="F464" s="118" t="s">
        <v>2561</v>
      </c>
      <c r="G464" s="122" t="s">
        <v>2681</v>
      </c>
      <c r="H464" s="122" t="s">
        <v>1186</v>
      </c>
    </row>
    <row r="465" spans="1:8" x14ac:dyDescent="0.2">
      <c r="A465" s="194"/>
      <c r="B465" s="199" t="s">
        <v>3091</v>
      </c>
      <c r="C465" s="282" t="s">
        <v>163</v>
      </c>
      <c r="D465" s="122" t="s">
        <v>162</v>
      </c>
      <c r="E465" s="122" t="s">
        <v>163</v>
      </c>
      <c r="F465" s="118" t="s">
        <v>2323</v>
      </c>
      <c r="G465" s="122" t="s">
        <v>979</v>
      </c>
      <c r="H465" s="122" t="s">
        <v>1187</v>
      </c>
    </row>
    <row r="466" spans="1:8" ht="25.5" x14ac:dyDescent="0.2">
      <c r="A466" s="194"/>
      <c r="B466" s="199" t="s">
        <v>3092</v>
      </c>
      <c r="C466" s="282" t="s">
        <v>165</v>
      </c>
      <c r="D466" s="122" t="s">
        <v>164</v>
      </c>
      <c r="E466" s="122" t="s">
        <v>165</v>
      </c>
      <c r="F466" s="118" t="s">
        <v>2562</v>
      </c>
      <c r="G466" s="122" t="s">
        <v>2682</v>
      </c>
      <c r="H466" s="122" t="s">
        <v>1188</v>
      </c>
    </row>
    <row r="467" spans="1:8" x14ac:dyDescent="0.2">
      <c r="A467" s="194"/>
      <c r="B467" s="199" t="s">
        <v>3093</v>
      </c>
      <c r="C467" s="282" t="s">
        <v>1031</v>
      </c>
      <c r="D467" s="122" t="s">
        <v>1030</v>
      </c>
      <c r="E467" s="122" t="s">
        <v>1031</v>
      </c>
      <c r="F467" s="118" t="s">
        <v>2324</v>
      </c>
      <c r="G467" s="122" t="s">
        <v>980</v>
      </c>
      <c r="H467" s="122" t="s">
        <v>1189</v>
      </c>
    </row>
    <row r="468" spans="1:8" ht="25.5" x14ac:dyDescent="0.2">
      <c r="A468" s="194"/>
      <c r="B468" s="199" t="s">
        <v>3094</v>
      </c>
      <c r="C468" s="282" t="s">
        <v>1033</v>
      </c>
      <c r="D468" s="122" t="s">
        <v>1032</v>
      </c>
      <c r="E468" s="122" t="s">
        <v>1033</v>
      </c>
      <c r="F468" s="118" t="s">
        <v>2563</v>
      </c>
      <c r="G468" s="122" t="s">
        <v>2683</v>
      </c>
      <c r="H468" s="122" t="s">
        <v>1190</v>
      </c>
    </row>
    <row r="469" spans="1:8" x14ac:dyDescent="0.2">
      <c r="A469" s="194"/>
      <c r="B469" s="199" t="s">
        <v>3095</v>
      </c>
      <c r="C469" s="282" t="s">
        <v>2150</v>
      </c>
      <c r="D469" s="122" t="s">
        <v>2149</v>
      </c>
      <c r="E469" s="122" t="s">
        <v>2150</v>
      </c>
      <c r="F469" s="118" t="s">
        <v>2325</v>
      </c>
      <c r="G469" s="122" t="s">
        <v>981</v>
      </c>
      <c r="H469" s="122" t="s">
        <v>1191</v>
      </c>
    </row>
    <row r="470" spans="1:8" x14ac:dyDescent="0.2">
      <c r="A470" s="194"/>
      <c r="B470" s="199" t="s">
        <v>3096</v>
      </c>
      <c r="C470" s="282" t="s">
        <v>2152</v>
      </c>
      <c r="D470" s="122" t="s">
        <v>2151</v>
      </c>
      <c r="E470" s="122" t="s">
        <v>2152</v>
      </c>
      <c r="F470" s="118" t="s">
        <v>2564</v>
      </c>
      <c r="G470" s="122" t="s">
        <v>2684</v>
      </c>
      <c r="H470" s="122" t="s">
        <v>1192</v>
      </c>
    </row>
    <row r="471" spans="1:8" x14ac:dyDescent="0.2">
      <c r="A471" s="194"/>
      <c r="B471" s="199" t="s">
        <v>3213</v>
      </c>
      <c r="C471" s="282" t="s">
        <v>3471</v>
      </c>
      <c r="D471" s="122" t="s">
        <v>3470</v>
      </c>
      <c r="E471" s="122" t="s">
        <v>3471</v>
      </c>
      <c r="F471" s="118" t="s">
        <v>3472</v>
      </c>
      <c r="G471" s="122" t="s">
        <v>3473</v>
      </c>
      <c r="H471" s="122" t="s">
        <v>3474</v>
      </c>
    </row>
    <row r="472" spans="1:8" x14ac:dyDescent="0.2">
      <c r="A472" s="194"/>
      <c r="B472" s="199" t="s">
        <v>3214</v>
      </c>
      <c r="C472" s="282" t="s">
        <v>3292</v>
      </c>
      <c r="D472" s="122" t="s">
        <v>3266</v>
      </c>
      <c r="E472" s="122" t="s">
        <v>3292</v>
      </c>
      <c r="F472" s="118" t="s">
        <v>3318</v>
      </c>
      <c r="G472" s="122" t="s">
        <v>3344</v>
      </c>
      <c r="H472" s="122" t="s">
        <v>3370</v>
      </c>
    </row>
    <row r="473" spans="1:8" x14ac:dyDescent="0.2">
      <c r="A473" s="194"/>
      <c r="B473" s="199" t="s">
        <v>3215</v>
      </c>
      <c r="C473" s="282" t="s">
        <v>3476</v>
      </c>
      <c r="D473" s="122" t="s">
        <v>3475</v>
      </c>
      <c r="E473" s="122" t="s">
        <v>3476</v>
      </c>
      <c r="F473" s="118" t="s">
        <v>3477</v>
      </c>
      <c r="G473" s="122" t="s">
        <v>3478</v>
      </c>
      <c r="H473" s="122" t="s">
        <v>3479</v>
      </c>
    </row>
    <row r="474" spans="1:8" x14ac:dyDescent="0.2">
      <c r="A474" s="194"/>
      <c r="B474" s="199" t="s">
        <v>3216</v>
      </c>
      <c r="C474" s="282" t="s">
        <v>3293</v>
      </c>
      <c r="D474" s="122" t="s">
        <v>3267</v>
      </c>
      <c r="E474" s="122" t="s">
        <v>3293</v>
      </c>
      <c r="F474" s="118" t="s">
        <v>3319</v>
      </c>
      <c r="G474" s="122" t="s">
        <v>3345</v>
      </c>
      <c r="H474" s="122" t="s">
        <v>3371</v>
      </c>
    </row>
    <row r="475" spans="1:8" x14ac:dyDescent="0.2">
      <c r="A475" s="194"/>
      <c r="B475" s="199" t="s">
        <v>3097</v>
      </c>
      <c r="C475" s="282" t="s">
        <v>2371</v>
      </c>
      <c r="D475" s="122" t="s">
        <v>2370</v>
      </c>
      <c r="E475" s="122" t="s">
        <v>2371</v>
      </c>
      <c r="F475" s="118" t="s">
        <v>2326</v>
      </c>
      <c r="G475" s="122" t="s">
        <v>982</v>
      </c>
      <c r="H475" s="122" t="s">
        <v>1193</v>
      </c>
    </row>
    <row r="476" spans="1:8" x14ac:dyDescent="0.2">
      <c r="A476" s="194"/>
      <c r="B476" s="199" t="s">
        <v>3098</v>
      </c>
      <c r="C476" s="282" t="s">
        <v>2521</v>
      </c>
      <c r="D476" s="122" t="s">
        <v>2520</v>
      </c>
      <c r="E476" s="122" t="s">
        <v>2521</v>
      </c>
      <c r="F476" s="118" t="s">
        <v>2565</v>
      </c>
      <c r="G476" s="122" t="s">
        <v>2685</v>
      </c>
      <c r="H476" s="122" t="s">
        <v>1194</v>
      </c>
    </row>
    <row r="477" spans="1:8" x14ac:dyDescent="0.2">
      <c r="A477" s="194"/>
      <c r="B477" s="199" t="s">
        <v>3099</v>
      </c>
      <c r="C477" s="282" t="s">
        <v>2299</v>
      </c>
      <c r="D477" s="122" t="s">
        <v>2298</v>
      </c>
      <c r="E477" s="122" t="s">
        <v>2299</v>
      </c>
      <c r="F477" s="118" t="s">
        <v>2327</v>
      </c>
      <c r="G477" s="122" t="s">
        <v>983</v>
      </c>
      <c r="H477" s="122" t="s">
        <v>1195</v>
      </c>
    </row>
    <row r="478" spans="1:8" x14ac:dyDescent="0.2">
      <c r="A478" s="194"/>
      <c r="B478" s="199" t="s">
        <v>3100</v>
      </c>
      <c r="C478" s="282" t="s">
        <v>2301</v>
      </c>
      <c r="D478" s="122" t="s">
        <v>2300</v>
      </c>
      <c r="E478" s="122" t="s">
        <v>2301</v>
      </c>
      <c r="F478" s="118" t="s">
        <v>2566</v>
      </c>
      <c r="G478" s="122" t="s">
        <v>2686</v>
      </c>
      <c r="H478" s="122" t="s">
        <v>1196</v>
      </c>
    </row>
    <row r="479" spans="1:8" x14ac:dyDescent="0.2">
      <c r="A479" s="194"/>
      <c r="B479" s="199" t="s">
        <v>3217</v>
      </c>
      <c r="C479" s="282" t="s">
        <v>3481</v>
      </c>
      <c r="D479" s="122" t="s">
        <v>3480</v>
      </c>
      <c r="E479" s="122" t="s">
        <v>3481</v>
      </c>
      <c r="F479" s="118" t="s">
        <v>3482</v>
      </c>
      <c r="G479" s="122" t="s">
        <v>3483</v>
      </c>
      <c r="H479" s="122" t="s">
        <v>3484</v>
      </c>
    </row>
    <row r="480" spans="1:8" x14ac:dyDescent="0.2">
      <c r="A480" s="194"/>
      <c r="B480" s="199" t="s">
        <v>3218</v>
      </c>
      <c r="C480" s="282" t="s">
        <v>3294</v>
      </c>
      <c r="D480" s="122" t="s">
        <v>3268</v>
      </c>
      <c r="E480" s="122" t="s">
        <v>3294</v>
      </c>
      <c r="F480" s="118" t="s">
        <v>3320</v>
      </c>
      <c r="G480" s="122" t="s">
        <v>3346</v>
      </c>
      <c r="H480" s="122" t="s">
        <v>3372</v>
      </c>
    </row>
    <row r="481" spans="1:8" x14ac:dyDescent="0.2">
      <c r="A481" s="194"/>
      <c r="B481" s="199" t="s">
        <v>3219</v>
      </c>
      <c r="C481" s="282" t="s">
        <v>3486</v>
      </c>
      <c r="D481" s="122" t="s">
        <v>3485</v>
      </c>
      <c r="E481" s="122" t="s">
        <v>3486</v>
      </c>
      <c r="F481" s="118" t="s">
        <v>3487</v>
      </c>
      <c r="G481" s="122" t="s">
        <v>3488</v>
      </c>
      <c r="H481" s="122" t="s">
        <v>3489</v>
      </c>
    </row>
    <row r="482" spans="1:8" x14ac:dyDescent="0.2">
      <c r="A482" s="194"/>
      <c r="B482" s="199" t="s">
        <v>3220</v>
      </c>
      <c r="C482" s="282" t="s">
        <v>3295</v>
      </c>
      <c r="D482" s="122" t="s">
        <v>3269</v>
      </c>
      <c r="E482" s="122" t="s">
        <v>3295</v>
      </c>
      <c r="F482" s="118" t="s">
        <v>3321</v>
      </c>
      <c r="G482" s="122" t="s">
        <v>3347</v>
      </c>
      <c r="H482" s="122" t="s">
        <v>3373</v>
      </c>
    </row>
    <row r="483" spans="1:8" x14ac:dyDescent="0.2">
      <c r="A483" s="194"/>
      <c r="B483" s="199" t="s">
        <v>3121</v>
      </c>
      <c r="C483" s="282" t="s">
        <v>3147</v>
      </c>
      <c r="D483" s="122" t="s">
        <v>3145</v>
      </c>
      <c r="E483" s="122" t="s">
        <v>3147</v>
      </c>
      <c r="F483" s="118" t="s">
        <v>3149</v>
      </c>
      <c r="G483" s="122" t="s">
        <v>3151</v>
      </c>
      <c r="H483" s="122" t="s">
        <v>3153</v>
      </c>
    </row>
    <row r="484" spans="1:8" x14ac:dyDescent="0.2">
      <c r="A484" s="194"/>
      <c r="B484" s="199" t="s">
        <v>3122</v>
      </c>
      <c r="C484" s="282" t="s">
        <v>3148</v>
      </c>
      <c r="D484" s="122" t="s">
        <v>3146</v>
      </c>
      <c r="E484" s="122" t="s">
        <v>3148</v>
      </c>
      <c r="F484" s="118" t="s">
        <v>3150</v>
      </c>
      <c r="G484" s="122" t="s">
        <v>3152</v>
      </c>
      <c r="H484" s="122" t="s">
        <v>3154</v>
      </c>
    </row>
    <row r="485" spans="1:8" x14ac:dyDescent="0.2">
      <c r="A485" s="194"/>
      <c r="B485" s="199" t="s">
        <v>3101</v>
      </c>
      <c r="C485" s="282" t="s">
        <v>4</v>
      </c>
      <c r="D485" s="122" t="s">
        <v>3</v>
      </c>
      <c r="E485" s="122" t="s">
        <v>4</v>
      </c>
      <c r="F485" s="118" t="s">
        <v>2328</v>
      </c>
      <c r="G485" s="122" t="s">
        <v>984</v>
      </c>
      <c r="H485" s="122" t="s">
        <v>1197</v>
      </c>
    </row>
    <row r="486" spans="1:8" ht="25.5" x14ac:dyDescent="0.2">
      <c r="A486" s="194"/>
      <c r="B486" s="199" t="s">
        <v>3102</v>
      </c>
      <c r="C486" s="282" t="s">
        <v>6</v>
      </c>
      <c r="D486" s="122" t="s">
        <v>5</v>
      </c>
      <c r="E486" s="122" t="s">
        <v>6</v>
      </c>
      <c r="F486" s="118" t="s">
        <v>1534</v>
      </c>
      <c r="G486" s="122" t="s">
        <v>2687</v>
      </c>
      <c r="H486" s="122" t="s">
        <v>1198</v>
      </c>
    </row>
    <row r="487" spans="1:8" x14ac:dyDescent="0.2">
      <c r="A487" s="194"/>
      <c r="B487" s="199" t="s">
        <v>3103</v>
      </c>
      <c r="C487" s="282" t="s">
        <v>284</v>
      </c>
      <c r="D487" s="122" t="s">
        <v>285</v>
      </c>
      <c r="E487" s="122" t="s">
        <v>284</v>
      </c>
      <c r="F487" s="118" t="s">
        <v>2329</v>
      </c>
      <c r="G487" s="122" t="s">
        <v>985</v>
      </c>
      <c r="H487" s="122" t="s">
        <v>1199</v>
      </c>
    </row>
    <row r="488" spans="1:8" ht="25.5" x14ac:dyDescent="0.2">
      <c r="A488" s="194"/>
      <c r="B488" s="199" t="s">
        <v>3104</v>
      </c>
      <c r="C488" s="282" t="s">
        <v>1361</v>
      </c>
      <c r="D488" s="122" t="s">
        <v>2631</v>
      </c>
      <c r="E488" s="122" t="s">
        <v>1361</v>
      </c>
      <c r="F488" s="118" t="s">
        <v>1535</v>
      </c>
      <c r="G488" s="122" t="s">
        <v>2029</v>
      </c>
      <c r="H488" s="122" t="s">
        <v>1200</v>
      </c>
    </row>
    <row r="489" spans="1:8" x14ac:dyDescent="0.2">
      <c r="A489" s="194"/>
      <c r="B489" s="199" t="s">
        <v>3105</v>
      </c>
      <c r="C489" s="282" t="s">
        <v>2577</v>
      </c>
      <c r="D489" s="122" t="s">
        <v>2576</v>
      </c>
      <c r="E489" s="122" t="s">
        <v>2577</v>
      </c>
      <c r="F489" s="118" t="s">
        <v>2330</v>
      </c>
      <c r="G489" s="122" t="s">
        <v>986</v>
      </c>
      <c r="H489" s="122" t="s">
        <v>1201</v>
      </c>
    </row>
    <row r="490" spans="1:8" ht="25.5" x14ac:dyDescent="0.2">
      <c r="A490" s="194"/>
      <c r="B490" s="199" t="s">
        <v>3106</v>
      </c>
      <c r="C490" s="282" t="s">
        <v>2579</v>
      </c>
      <c r="D490" s="122" t="s">
        <v>2578</v>
      </c>
      <c r="E490" s="122" t="s">
        <v>2579</v>
      </c>
      <c r="F490" s="118" t="s">
        <v>666</v>
      </c>
      <c r="G490" s="122" t="s">
        <v>2030</v>
      </c>
      <c r="H490" s="122" t="s">
        <v>1202</v>
      </c>
    </row>
    <row r="491" spans="1:8" x14ac:dyDescent="0.2">
      <c r="A491" s="194"/>
      <c r="B491" s="199" t="s">
        <v>3107</v>
      </c>
      <c r="C491" s="282" t="s">
        <v>1059</v>
      </c>
      <c r="D491" s="122" t="s">
        <v>166</v>
      </c>
      <c r="E491" s="122" t="s">
        <v>1059</v>
      </c>
      <c r="F491" s="118" t="s">
        <v>97</v>
      </c>
      <c r="G491" s="122" t="s">
        <v>987</v>
      </c>
      <c r="H491" s="122" t="s">
        <v>1203</v>
      </c>
    </row>
    <row r="492" spans="1:8" ht="25.5" x14ac:dyDescent="0.2">
      <c r="A492" s="194"/>
      <c r="B492" s="199" t="s">
        <v>3108</v>
      </c>
      <c r="C492" s="282" t="s">
        <v>1061</v>
      </c>
      <c r="D492" s="122" t="s">
        <v>1060</v>
      </c>
      <c r="E492" s="122" t="s">
        <v>1061</v>
      </c>
      <c r="F492" s="118" t="s">
        <v>667</v>
      </c>
      <c r="G492" s="122" t="s">
        <v>2031</v>
      </c>
      <c r="H492" s="122" t="s">
        <v>1204</v>
      </c>
    </row>
    <row r="493" spans="1:8" x14ac:dyDescent="0.2">
      <c r="A493" s="194"/>
      <c r="B493" s="199" t="s">
        <v>3109</v>
      </c>
      <c r="C493" s="282" t="s">
        <v>1035</v>
      </c>
      <c r="D493" s="122" t="s">
        <v>1034</v>
      </c>
      <c r="E493" s="122" t="s">
        <v>1035</v>
      </c>
      <c r="F493" s="118" t="s">
        <v>98</v>
      </c>
      <c r="G493" s="122" t="s">
        <v>988</v>
      </c>
      <c r="H493" s="122" t="s">
        <v>1205</v>
      </c>
    </row>
    <row r="494" spans="1:8" ht="25.5" x14ac:dyDescent="0.2">
      <c r="A494" s="194"/>
      <c r="B494" s="199" t="s">
        <v>3110</v>
      </c>
      <c r="C494" s="282" t="s">
        <v>1037</v>
      </c>
      <c r="D494" s="122" t="s">
        <v>1036</v>
      </c>
      <c r="E494" s="122" t="s">
        <v>1037</v>
      </c>
      <c r="F494" s="118" t="s">
        <v>664</v>
      </c>
      <c r="G494" s="122" t="s">
        <v>2032</v>
      </c>
      <c r="H494" s="122" t="s">
        <v>1206</v>
      </c>
    </row>
    <row r="495" spans="1:8" x14ac:dyDescent="0.2">
      <c r="A495" s="194"/>
      <c r="B495" s="199" t="s">
        <v>3111</v>
      </c>
      <c r="C495" s="282" t="s">
        <v>2154</v>
      </c>
      <c r="D495" s="122" t="s">
        <v>2153</v>
      </c>
      <c r="E495" s="122" t="s">
        <v>2154</v>
      </c>
      <c r="F495" s="118" t="s">
        <v>99</v>
      </c>
      <c r="G495" s="122" t="s">
        <v>989</v>
      </c>
      <c r="H495" s="122" t="s">
        <v>1207</v>
      </c>
    </row>
    <row r="496" spans="1:8" x14ac:dyDescent="0.2">
      <c r="A496" s="194"/>
      <c r="B496" s="199" t="s">
        <v>3112</v>
      </c>
      <c r="C496" s="282" t="s">
        <v>2156</v>
      </c>
      <c r="D496" s="122" t="s">
        <v>2155</v>
      </c>
      <c r="E496" s="122" t="s">
        <v>2156</v>
      </c>
      <c r="F496" s="118" t="s">
        <v>665</v>
      </c>
      <c r="G496" s="122" t="s">
        <v>2033</v>
      </c>
      <c r="H496" s="122" t="s">
        <v>1208</v>
      </c>
    </row>
    <row r="497" spans="1:8" x14ac:dyDescent="0.2">
      <c r="A497" s="194"/>
      <c r="B497" s="199" t="s">
        <v>3221</v>
      </c>
      <c r="C497" s="282" t="s">
        <v>3491</v>
      </c>
      <c r="D497" s="122" t="s">
        <v>3490</v>
      </c>
      <c r="E497" s="122" t="s">
        <v>3491</v>
      </c>
      <c r="F497" s="118" t="s">
        <v>3492</v>
      </c>
      <c r="G497" s="122" t="s">
        <v>3493</v>
      </c>
      <c r="H497" s="122" t="s">
        <v>3494</v>
      </c>
    </row>
    <row r="498" spans="1:8" x14ac:dyDescent="0.2">
      <c r="A498" s="194"/>
      <c r="B498" s="199" t="s">
        <v>3222</v>
      </c>
      <c r="C498" s="282" t="s">
        <v>3296</v>
      </c>
      <c r="D498" s="122" t="s">
        <v>3270</v>
      </c>
      <c r="E498" s="122" t="s">
        <v>3296</v>
      </c>
      <c r="F498" s="118" t="s">
        <v>3322</v>
      </c>
      <c r="G498" s="122" t="s">
        <v>3348</v>
      </c>
      <c r="H498" s="122" t="s">
        <v>3374</v>
      </c>
    </row>
    <row r="499" spans="1:8" x14ac:dyDescent="0.2">
      <c r="A499" s="194"/>
      <c r="B499" s="199" t="s">
        <v>3223</v>
      </c>
      <c r="C499" s="282" t="s">
        <v>3496</v>
      </c>
      <c r="D499" s="122" t="s">
        <v>3495</v>
      </c>
      <c r="E499" s="122" t="s">
        <v>3496</v>
      </c>
      <c r="F499" s="118" t="s">
        <v>3497</v>
      </c>
      <c r="G499" s="122" t="s">
        <v>3498</v>
      </c>
      <c r="H499" s="122" t="s">
        <v>3499</v>
      </c>
    </row>
    <row r="500" spans="1:8" x14ac:dyDescent="0.2">
      <c r="A500" s="194"/>
      <c r="B500" s="199" t="s">
        <v>3224</v>
      </c>
      <c r="C500" s="282" t="s">
        <v>3297</v>
      </c>
      <c r="D500" s="122" t="s">
        <v>3271</v>
      </c>
      <c r="E500" s="122" t="s">
        <v>3297</v>
      </c>
      <c r="F500" s="118" t="s">
        <v>3323</v>
      </c>
      <c r="G500" s="122" t="s">
        <v>3349</v>
      </c>
      <c r="H500" s="122" t="s">
        <v>3375</v>
      </c>
    </row>
    <row r="501" spans="1:8" x14ac:dyDescent="0.2">
      <c r="A501" s="194"/>
      <c r="B501" s="199" t="s">
        <v>3113</v>
      </c>
      <c r="C501" s="282" t="s">
        <v>2523</v>
      </c>
      <c r="D501" s="122" t="s">
        <v>2522</v>
      </c>
      <c r="E501" s="122" t="s">
        <v>2523</v>
      </c>
      <c r="F501" s="118" t="s">
        <v>2208</v>
      </c>
      <c r="G501" s="122" t="s">
        <v>990</v>
      </c>
      <c r="H501" s="122" t="s">
        <v>2011</v>
      </c>
    </row>
    <row r="502" spans="1:8" x14ac:dyDescent="0.2">
      <c r="A502" s="194"/>
      <c r="B502" s="199" t="s">
        <v>3114</v>
      </c>
      <c r="C502" s="282" t="s">
        <v>2525</v>
      </c>
      <c r="D502" s="122" t="s">
        <v>2524</v>
      </c>
      <c r="E502" s="122" t="s">
        <v>2525</v>
      </c>
      <c r="F502" s="118" t="s">
        <v>1015</v>
      </c>
      <c r="G502" s="122" t="s">
        <v>2034</v>
      </c>
      <c r="H502" s="122" t="s">
        <v>2012</v>
      </c>
    </row>
    <row r="503" spans="1:8" x14ac:dyDescent="0.2">
      <c r="A503" s="194"/>
      <c r="B503" s="199" t="s">
        <v>3115</v>
      </c>
      <c r="C503" s="282" t="s">
        <v>2303</v>
      </c>
      <c r="D503" s="122" t="s">
        <v>2302</v>
      </c>
      <c r="E503" s="122" t="s">
        <v>2303</v>
      </c>
      <c r="F503" s="118" t="s">
        <v>2209</v>
      </c>
      <c r="G503" s="122" t="s">
        <v>991</v>
      </c>
      <c r="H503" s="122" t="s">
        <v>2013</v>
      </c>
    </row>
    <row r="504" spans="1:8" x14ac:dyDescent="0.2">
      <c r="A504" s="194"/>
      <c r="B504" s="199" t="s">
        <v>3116</v>
      </c>
      <c r="C504" s="282" t="s">
        <v>2148</v>
      </c>
      <c r="D504" s="122" t="s">
        <v>2147</v>
      </c>
      <c r="E504" s="122" t="s">
        <v>2148</v>
      </c>
      <c r="F504" s="118" t="s">
        <v>1066</v>
      </c>
      <c r="G504" s="122" t="s">
        <v>2035</v>
      </c>
      <c r="H504" s="122" t="s">
        <v>2014</v>
      </c>
    </row>
    <row r="505" spans="1:8" x14ac:dyDescent="0.2">
      <c r="A505" s="194"/>
      <c r="B505" s="199" t="s">
        <v>3225</v>
      </c>
      <c r="C505" s="282" t="s">
        <v>3501</v>
      </c>
      <c r="D505" s="122" t="s">
        <v>3500</v>
      </c>
      <c r="E505" s="122" t="s">
        <v>3501</v>
      </c>
      <c r="F505" s="118" t="s">
        <v>3502</v>
      </c>
      <c r="G505" s="122" t="s">
        <v>3503</v>
      </c>
      <c r="H505" s="122" t="s">
        <v>3504</v>
      </c>
    </row>
    <row r="506" spans="1:8" x14ac:dyDescent="0.2">
      <c r="A506" s="194"/>
      <c r="B506" s="199" t="s">
        <v>3226</v>
      </c>
      <c r="C506" s="282" t="s">
        <v>3298</v>
      </c>
      <c r="D506" s="122" t="s">
        <v>3272</v>
      </c>
      <c r="E506" s="122" t="s">
        <v>3298</v>
      </c>
      <c r="F506" s="118" t="s">
        <v>3324</v>
      </c>
      <c r="G506" s="122" t="s">
        <v>3350</v>
      </c>
      <c r="H506" s="122" t="s">
        <v>3376</v>
      </c>
    </row>
    <row r="507" spans="1:8" x14ac:dyDescent="0.2">
      <c r="A507" s="194"/>
      <c r="B507" s="199" t="s">
        <v>3227</v>
      </c>
      <c r="C507" s="282" t="s">
        <v>3506</v>
      </c>
      <c r="D507" s="122" t="s">
        <v>3505</v>
      </c>
      <c r="E507" s="122" t="s">
        <v>3506</v>
      </c>
      <c r="F507" s="118" t="s">
        <v>3507</v>
      </c>
      <c r="G507" s="122" t="s">
        <v>3508</v>
      </c>
      <c r="H507" s="122" t="s">
        <v>3509</v>
      </c>
    </row>
    <row r="508" spans="1:8" x14ac:dyDescent="0.2">
      <c r="A508" s="194"/>
      <c r="B508" s="199" t="s">
        <v>3228</v>
      </c>
      <c r="C508" s="282" t="s">
        <v>3299</v>
      </c>
      <c r="D508" s="122" t="s">
        <v>3273</v>
      </c>
      <c r="E508" s="122" t="s">
        <v>3299</v>
      </c>
      <c r="F508" s="118" t="s">
        <v>3325</v>
      </c>
      <c r="G508" s="122" t="s">
        <v>3351</v>
      </c>
      <c r="H508" s="122" t="s">
        <v>3377</v>
      </c>
    </row>
    <row r="509" spans="1:8" x14ac:dyDescent="0.2">
      <c r="A509" s="194"/>
      <c r="B509" s="199" t="s">
        <v>3123</v>
      </c>
      <c r="C509" s="282" t="s">
        <v>3157</v>
      </c>
      <c r="D509" s="122" t="s">
        <v>3155</v>
      </c>
      <c r="E509" s="122" t="s">
        <v>3157</v>
      </c>
      <c r="F509" s="118" t="s">
        <v>3159</v>
      </c>
      <c r="G509" s="122" t="s">
        <v>3161</v>
      </c>
      <c r="H509" s="122" t="s">
        <v>3163</v>
      </c>
    </row>
    <row r="510" spans="1:8" x14ac:dyDescent="0.2">
      <c r="A510" s="194"/>
      <c r="B510" s="199" t="s">
        <v>3124</v>
      </c>
      <c r="C510" s="282" t="s">
        <v>3158</v>
      </c>
      <c r="D510" s="122" t="s">
        <v>3156</v>
      </c>
      <c r="E510" s="122" t="s">
        <v>3158</v>
      </c>
      <c r="F510" s="118" t="s">
        <v>3160</v>
      </c>
      <c r="G510" s="122" t="s">
        <v>3162</v>
      </c>
      <c r="H510" s="122" t="s">
        <v>3164</v>
      </c>
    </row>
    <row r="511" spans="1:8" x14ac:dyDescent="0.2">
      <c r="A511" s="194"/>
      <c r="B511" s="199" t="s">
        <v>2728</v>
      </c>
      <c r="C511" s="282" t="s">
        <v>2740</v>
      </c>
      <c r="D511" s="122" t="s">
        <v>2734</v>
      </c>
      <c r="E511" s="122" t="s">
        <v>2740</v>
      </c>
      <c r="F511" s="118" t="s">
        <v>2746</v>
      </c>
      <c r="G511" s="122" t="s">
        <v>2749</v>
      </c>
      <c r="H511" s="122" t="s">
        <v>2752</v>
      </c>
    </row>
    <row r="512" spans="1:8" x14ac:dyDescent="0.2">
      <c r="A512" s="194"/>
      <c r="B512" s="199" t="s">
        <v>2729</v>
      </c>
      <c r="C512" s="282" t="s">
        <v>2741</v>
      </c>
      <c r="D512" s="122" t="s">
        <v>2735</v>
      </c>
      <c r="E512" s="122" t="s">
        <v>2741</v>
      </c>
      <c r="F512" s="118" t="s">
        <v>2747</v>
      </c>
      <c r="G512" s="122" t="s">
        <v>2750</v>
      </c>
      <c r="H512" s="122" t="s">
        <v>2753</v>
      </c>
    </row>
    <row r="513" spans="1:10" x14ac:dyDescent="0.2">
      <c r="A513" s="194"/>
      <c r="B513" s="199" t="s">
        <v>2730</v>
      </c>
      <c r="C513" s="282" t="s">
        <v>2742</v>
      </c>
      <c r="D513" s="122" t="s">
        <v>2736</v>
      </c>
      <c r="E513" s="122" t="s">
        <v>2742</v>
      </c>
      <c r="F513" s="118" t="s">
        <v>2748</v>
      </c>
      <c r="G513" s="122" t="s">
        <v>2751</v>
      </c>
      <c r="H513" s="122" t="s">
        <v>2754</v>
      </c>
    </row>
    <row r="514" spans="1:10" x14ac:dyDescent="0.2">
      <c r="A514" s="262"/>
      <c r="B514" s="199" t="s">
        <v>2731</v>
      </c>
      <c r="C514" s="284" t="s">
        <v>2743</v>
      </c>
      <c r="D514" s="122" t="s">
        <v>2737</v>
      </c>
      <c r="E514" s="122" t="s">
        <v>2743</v>
      </c>
      <c r="F514" s="118" t="s">
        <v>2761</v>
      </c>
      <c r="G514" s="264" t="s">
        <v>2758</v>
      </c>
      <c r="H514" s="122" t="s">
        <v>2755</v>
      </c>
    </row>
    <row r="515" spans="1:10" x14ac:dyDescent="0.2">
      <c r="A515" s="262"/>
      <c r="B515" s="199" t="s">
        <v>2732</v>
      </c>
      <c r="C515" s="284" t="s">
        <v>2744</v>
      </c>
      <c r="D515" s="122" t="s">
        <v>2738</v>
      </c>
      <c r="E515" s="122" t="s">
        <v>2744</v>
      </c>
      <c r="F515" s="118" t="s">
        <v>2762</v>
      </c>
      <c r="G515" s="264" t="s">
        <v>2759</v>
      </c>
      <c r="H515" s="122" t="s">
        <v>2756</v>
      </c>
    </row>
    <row r="516" spans="1:10" x14ac:dyDescent="0.2">
      <c r="A516" s="262"/>
      <c r="B516" s="199" t="s">
        <v>2733</v>
      </c>
      <c r="C516" s="284" t="s">
        <v>2745</v>
      </c>
      <c r="D516" s="122" t="s">
        <v>2739</v>
      </c>
      <c r="E516" s="122" t="s">
        <v>2745</v>
      </c>
      <c r="F516" s="118" t="s">
        <v>2763</v>
      </c>
      <c r="G516" s="264" t="s">
        <v>2760</v>
      </c>
      <c r="H516" s="122" t="s">
        <v>2757</v>
      </c>
    </row>
    <row r="517" spans="1:10" x14ac:dyDescent="0.2">
      <c r="A517" s="262"/>
      <c r="B517" s="263" t="s">
        <v>1757</v>
      </c>
      <c r="C517" s="284" t="s">
        <v>1759</v>
      </c>
      <c r="D517" s="264" t="s">
        <v>1758</v>
      </c>
      <c r="E517" s="264" t="s">
        <v>1759</v>
      </c>
      <c r="F517" s="264" t="s">
        <v>1759</v>
      </c>
      <c r="G517" s="264" t="s">
        <v>1759</v>
      </c>
      <c r="H517" s="264" t="s">
        <v>1759</v>
      </c>
    </row>
    <row r="518" spans="1:10" s="25" customFormat="1" x14ac:dyDescent="0.2">
      <c r="A518" s="116"/>
      <c r="B518" s="265"/>
      <c r="C518" s="285"/>
      <c r="D518" s="265"/>
      <c r="E518" s="265"/>
      <c r="F518" s="265"/>
      <c r="G518" s="265"/>
      <c r="H518" s="265"/>
      <c r="J518" s="26"/>
    </row>
    <row r="519" spans="1:10" ht="51" x14ac:dyDescent="0.2">
      <c r="A519" s="273"/>
      <c r="B519" s="273" t="str">
        <f>CONCATENATE(IF(A519=1," ",""),C519)</f>
        <v>WARNING: the input steam flow generates condensation</v>
      </c>
      <c r="C519" s="286" t="s">
        <v>2519</v>
      </c>
      <c r="D519" s="273" t="s">
        <v>167</v>
      </c>
      <c r="E519" s="273" t="s">
        <v>2519</v>
      </c>
      <c r="F519" s="273" t="s">
        <v>262</v>
      </c>
      <c r="G519" s="273" t="s">
        <v>263</v>
      </c>
      <c r="H519" s="273"/>
    </row>
    <row r="521" spans="1:10" x14ac:dyDescent="0.2">
      <c r="C521" s="287" t="s">
        <v>2887</v>
      </c>
      <c r="D521" s="105" t="s">
        <v>2888</v>
      </c>
      <c r="E521" s="105" t="s">
        <v>2887</v>
      </c>
      <c r="F521" s="287" t="s">
        <v>2887</v>
      </c>
      <c r="G521" s="287" t="s">
        <v>2887</v>
      </c>
      <c r="H521" s="287" t="s">
        <v>2887</v>
      </c>
    </row>
    <row r="522" spans="1:10" x14ac:dyDescent="0.2">
      <c r="C522" s="287" t="s">
        <v>2801</v>
      </c>
      <c r="D522" s="105" t="s">
        <v>2800</v>
      </c>
      <c r="E522" s="105" t="s">
        <v>2801</v>
      </c>
      <c r="F522" s="287" t="s">
        <v>2801</v>
      </c>
      <c r="G522" s="287" t="s">
        <v>2801</v>
      </c>
      <c r="H522" s="287" t="s">
        <v>2801</v>
      </c>
    </row>
    <row r="523" spans="1:10" x14ac:dyDescent="0.2">
      <c r="B523" s="23" t="s">
        <v>2815</v>
      </c>
      <c r="C523" s="287" t="s">
        <v>2843</v>
      </c>
      <c r="D523" s="105" t="s">
        <v>2802</v>
      </c>
      <c r="E523" s="105" t="s">
        <v>2843</v>
      </c>
      <c r="F523" s="287" t="s">
        <v>2843</v>
      </c>
      <c r="G523" s="287" t="s">
        <v>2843</v>
      </c>
      <c r="H523" s="287" t="s">
        <v>2843</v>
      </c>
    </row>
    <row r="524" spans="1:10" x14ac:dyDescent="0.2">
      <c r="B524" s="23" t="s">
        <v>2773</v>
      </c>
      <c r="C524" s="287" t="s">
        <v>2844</v>
      </c>
      <c r="D524" s="105" t="s">
        <v>2803</v>
      </c>
      <c r="E524" s="105" t="s">
        <v>2844</v>
      </c>
      <c r="F524" s="287" t="s">
        <v>2844</v>
      </c>
      <c r="G524" s="287" t="s">
        <v>2844</v>
      </c>
      <c r="H524" s="287" t="s">
        <v>2844</v>
      </c>
    </row>
    <row r="525" spans="1:10" x14ac:dyDescent="0.2">
      <c r="B525" s="23" t="s">
        <v>2816</v>
      </c>
      <c r="C525" s="287" t="s">
        <v>2845</v>
      </c>
      <c r="D525" s="105" t="s">
        <v>2804</v>
      </c>
      <c r="E525" s="105" t="s">
        <v>2845</v>
      </c>
      <c r="F525" s="287" t="s">
        <v>2845</v>
      </c>
      <c r="G525" s="287" t="s">
        <v>2845</v>
      </c>
      <c r="H525" s="287" t="s">
        <v>2845</v>
      </c>
    </row>
    <row r="526" spans="1:10" x14ac:dyDescent="0.2">
      <c r="B526" s="23" t="s">
        <v>2774</v>
      </c>
      <c r="C526" s="287" t="s">
        <v>2846</v>
      </c>
      <c r="D526" s="105" t="s">
        <v>2805</v>
      </c>
      <c r="E526" s="105" t="s">
        <v>2846</v>
      </c>
      <c r="F526" s="287" t="s">
        <v>2846</v>
      </c>
      <c r="G526" s="287" t="s">
        <v>2846</v>
      </c>
      <c r="H526" s="287" t="s">
        <v>2846</v>
      </c>
    </row>
    <row r="527" spans="1:10" x14ac:dyDescent="0.2">
      <c r="B527" s="637" t="s">
        <v>3169</v>
      </c>
      <c r="C527" s="287" t="s">
        <v>2847</v>
      </c>
      <c r="D527" s="105" t="s">
        <v>2811</v>
      </c>
      <c r="E527" s="105" t="s">
        <v>2847</v>
      </c>
      <c r="F527" s="287" t="s">
        <v>3170</v>
      </c>
      <c r="G527" s="287" t="s">
        <v>3170</v>
      </c>
      <c r="H527" s="287" t="s">
        <v>3170</v>
      </c>
    </row>
    <row r="528" spans="1:10" x14ac:dyDescent="0.2">
      <c r="B528" s="637" t="s">
        <v>3171</v>
      </c>
      <c r="C528" s="287" t="s">
        <v>2848</v>
      </c>
      <c r="D528" s="105" t="s">
        <v>2812</v>
      </c>
      <c r="E528" s="105" t="s">
        <v>2848</v>
      </c>
      <c r="F528" s="287" t="s">
        <v>2848</v>
      </c>
      <c r="G528" s="287" t="s">
        <v>2848</v>
      </c>
      <c r="H528" s="287" t="s">
        <v>2848</v>
      </c>
    </row>
    <row r="529" spans="1:11" x14ac:dyDescent="0.2">
      <c r="B529" s="23" t="s">
        <v>3175</v>
      </c>
      <c r="C529" s="287" t="s">
        <v>3168</v>
      </c>
      <c r="D529" s="312" t="s">
        <v>2851</v>
      </c>
      <c r="E529" s="312" t="s">
        <v>2852</v>
      </c>
      <c r="F529" s="287" t="s">
        <v>3168</v>
      </c>
      <c r="G529" s="287" t="s">
        <v>3168</v>
      </c>
      <c r="H529" s="287" t="s">
        <v>3168</v>
      </c>
    </row>
    <row r="530" spans="1:11" x14ac:dyDescent="0.2">
      <c r="C530" s="287" t="s">
        <v>2897</v>
      </c>
      <c r="D530" s="105" t="s">
        <v>2889</v>
      </c>
      <c r="E530" s="105" t="s">
        <v>2897</v>
      </c>
      <c r="F530" s="287" t="s">
        <v>2897</v>
      </c>
      <c r="G530" s="287" t="s">
        <v>2897</v>
      </c>
      <c r="H530" s="287" t="s">
        <v>2897</v>
      </c>
    </row>
    <row r="531" spans="1:11" x14ac:dyDescent="0.2">
      <c r="F531" s="287"/>
      <c r="G531" s="287"/>
      <c r="H531" s="287"/>
    </row>
    <row r="532" spans="1:11" x14ac:dyDescent="0.2">
      <c r="F532" s="287"/>
      <c r="G532" s="287"/>
      <c r="H532" s="287"/>
    </row>
    <row r="533" spans="1:11" x14ac:dyDescent="0.2">
      <c r="B533" s="23" t="s">
        <v>2853</v>
      </c>
      <c r="C533" s="287" t="s">
        <v>2980</v>
      </c>
      <c r="D533" s="105" t="s">
        <v>2854</v>
      </c>
      <c r="E533" s="105" t="s">
        <v>2980</v>
      </c>
      <c r="F533" s="287" t="s">
        <v>2980</v>
      </c>
      <c r="G533" s="287" t="s">
        <v>2980</v>
      </c>
      <c r="H533" s="287" t="s">
        <v>2980</v>
      </c>
    </row>
    <row r="534" spans="1:11" ht="12.6" customHeight="1" x14ac:dyDescent="0.2">
      <c r="B534" s="23" t="s">
        <v>2796</v>
      </c>
      <c r="C534" s="287" t="s">
        <v>2977</v>
      </c>
      <c r="D534" s="105" t="s">
        <v>2974</v>
      </c>
      <c r="E534" s="105" t="s">
        <v>2977</v>
      </c>
      <c r="F534" s="287" t="s">
        <v>2977</v>
      </c>
      <c r="G534" s="287" t="s">
        <v>2977</v>
      </c>
      <c r="H534" s="287" t="s">
        <v>2977</v>
      </c>
    </row>
    <row r="535" spans="1:11" s="25" customFormat="1" ht="12.6" customHeight="1" x14ac:dyDescent="0.2">
      <c r="A535" s="129"/>
      <c r="B535" s="23" t="s">
        <v>2775</v>
      </c>
      <c r="C535" s="288" t="s">
        <v>2978</v>
      </c>
      <c r="D535" s="105" t="s">
        <v>2975</v>
      </c>
      <c r="E535" s="105" t="s">
        <v>2978</v>
      </c>
      <c r="F535" s="288" t="s">
        <v>2978</v>
      </c>
      <c r="G535" s="288" t="s">
        <v>2978</v>
      </c>
      <c r="H535" s="288" t="s">
        <v>2978</v>
      </c>
      <c r="J535" s="23"/>
      <c r="K535" s="29"/>
    </row>
    <row r="536" spans="1:11" s="25" customFormat="1" ht="12.6" customHeight="1" x14ac:dyDescent="0.2">
      <c r="A536" s="115"/>
      <c r="B536" s="23" t="s">
        <v>2797</v>
      </c>
      <c r="C536" s="288" t="s">
        <v>2979</v>
      </c>
      <c r="D536" s="105" t="s">
        <v>2976</v>
      </c>
      <c r="E536" s="105" t="s">
        <v>2979</v>
      </c>
      <c r="F536" s="288" t="s">
        <v>2979</v>
      </c>
      <c r="G536" s="288" t="s">
        <v>2979</v>
      </c>
      <c r="H536" s="288" t="s">
        <v>2979</v>
      </c>
      <c r="J536" s="23"/>
      <c r="K536" s="29"/>
    </row>
    <row r="537" spans="1:11" s="25" customFormat="1" ht="12.6" customHeight="1" x14ac:dyDescent="0.2">
      <c r="A537" s="32"/>
      <c r="B537" s="32"/>
      <c r="C537" s="288"/>
      <c r="D537" s="31"/>
      <c r="E537" s="26"/>
      <c r="F537" s="288"/>
      <c r="G537" s="288"/>
      <c r="H537" s="288"/>
      <c r="J537" s="23"/>
      <c r="K537" s="29"/>
    </row>
    <row r="538" spans="1:11" s="25" customFormat="1" ht="12.6" customHeight="1" x14ac:dyDescent="0.2">
      <c r="A538" s="32"/>
      <c r="B538" s="32"/>
      <c r="C538" s="288"/>
      <c r="E538" s="26"/>
      <c r="F538" s="288"/>
      <c r="G538" s="288"/>
      <c r="H538" s="288"/>
      <c r="J538" s="23"/>
      <c r="K538" s="29"/>
    </row>
    <row r="539" spans="1:11" s="25" customFormat="1" ht="12.6" customHeight="1" x14ac:dyDescent="0.2">
      <c r="A539" s="32"/>
      <c r="B539" s="23" t="s">
        <v>2817</v>
      </c>
      <c r="C539" s="288" t="s">
        <v>2981</v>
      </c>
      <c r="D539" s="23" t="s">
        <v>2818</v>
      </c>
      <c r="E539" s="26" t="s">
        <v>2981</v>
      </c>
      <c r="F539" s="288" t="s">
        <v>2981</v>
      </c>
      <c r="G539" s="288" t="s">
        <v>2981</v>
      </c>
      <c r="H539" s="288" t="s">
        <v>2981</v>
      </c>
      <c r="J539" s="23"/>
      <c r="K539" s="29"/>
    </row>
    <row r="540" spans="1:11" s="25" customFormat="1" ht="12.6" customHeight="1" x14ac:dyDescent="0.2">
      <c r="A540" s="32"/>
      <c r="B540" s="288" t="s">
        <v>2819</v>
      </c>
      <c r="C540" s="288" t="s">
        <v>2982</v>
      </c>
      <c r="D540" s="23" t="s">
        <v>2820</v>
      </c>
      <c r="E540" s="26" t="s">
        <v>2982</v>
      </c>
      <c r="F540" s="288" t="s">
        <v>2982</v>
      </c>
      <c r="G540" s="288" t="s">
        <v>2982</v>
      </c>
      <c r="H540" s="288" t="s">
        <v>2982</v>
      </c>
      <c r="J540" s="23"/>
      <c r="K540" s="29"/>
    </row>
    <row r="541" spans="1:11" s="25" customFormat="1" ht="12.6" customHeight="1" x14ac:dyDescent="0.2">
      <c r="A541" s="32"/>
      <c r="B541" s="32"/>
      <c r="C541" s="288" t="s">
        <v>2849</v>
      </c>
      <c r="D541" s="23" t="s">
        <v>2821</v>
      </c>
      <c r="E541" s="26" t="s">
        <v>2849</v>
      </c>
      <c r="F541" s="288" t="s">
        <v>2849</v>
      </c>
      <c r="G541" s="288" t="s">
        <v>2849</v>
      </c>
      <c r="H541" s="288" t="s">
        <v>2849</v>
      </c>
      <c r="J541" s="23"/>
      <c r="K541" s="29"/>
    </row>
    <row r="542" spans="1:11" s="25" customFormat="1" ht="12.6" customHeight="1" x14ac:dyDescent="0.2">
      <c r="A542" s="129"/>
      <c r="B542" s="26"/>
      <c r="C542" s="288" t="s">
        <v>2850</v>
      </c>
      <c r="D542" s="26" t="s">
        <v>2822</v>
      </c>
      <c r="E542" s="26" t="s">
        <v>2850</v>
      </c>
      <c r="F542" s="288" t="s">
        <v>2850</v>
      </c>
      <c r="G542" s="288" t="s">
        <v>2850</v>
      </c>
      <c r="H542" s="288" t="s">
        <v>2850</v>
      </c>
      <c r="J542" s="23"/>
      <c r="K542" s="29"/>
    </row>
    <row r="543" spans="1:11" s="25" customFormat="1" ht="12.6" customHeight="1" x14ac:dyDescent="0.2">
      <c r="A543" s="129"/>
      <c r="B543" s="26"/>
      <c r="C543" s="288" t="s">
        <v>2896</v>
      </c>
      <c r="D543" s="26" t="s">
        <v>2918</v>
      </c>
      <c r="E543" s="26" t="s">
        <v>2896</v>
      </c>
      <c r="F543" s="288" t="s">
        <v>2896</v>
      </c>
      <c r="G543" s="288" t="s">
        <v>2896</v>
      </c>
      <c r="H543" s="288" t="s">
        <v>2896</v>
      </c>
      <c r="J543" s="23"/>
      <c r="K543" s="29"/>
    </row>
    <row r="544" spans="1:11" s="25" customFormat="1" ht="25.5" x14ac:dyDescent="0.2">
      <c r="A544" s="129"/>
      <c r="B544" s="26"/>
      <c r="C544" s="288" t="s">
        <v>2920</v>
      </c>
      <c r="D544" s="26" t="s">
        <v>2919</v>
      </c>
      <c r="E544" s="26" t="s">
        <v>2920</v>
      </c>
      <c r="F544" s="288" t="s">
        <v>2920</v>
      </c>
      <c r="G544" s="288" t="s">
        <v>2920</v>
      </c>
      <c r="H544" s="288" t="s">
        <v>2920</v>
      </c>
      <c r="J544" s="23"/>
      <c r="K544" s="29"/>
    </row>
    <row r="545" spans="3:8" ht="114" customHeight="1" x14ac:dyDescent="0.2">
      <c r="C545" s="287" t="s">
        <v>625</v>
      </c>
      <c r="D545" s="105" t="s">
        <v>2942</v>
      </c>
      <c r="E545" s="105" t="s">
        <v>625</v>
      </c>
      <c r="F545" s="287" t="s">
        <v>625</v>
      </c>
      <c r="G545" s="287" t="s">
        <v>625</v>
      </c>
      <c r="H545" s="287" t="s">
        <v>625</v>
      </c>
    </row>
    <row r="546" spans="3:8" x14ac:dyDescent="0.2">
      <c r="C546" s="287" t="s">
        <v>2943</v>
      </c>
      <c r="D546" s="105" t="s">
        <v>2943</v>
      </c>
      <c r="E546" s="105" t="s">
        <v>2943</v>
      </c>
      <c r="F546" s="287" t="s">
        <v>2943</v>
      </c>
      <c r="G546" s="287" t="s">
        <v>2943</v>
      </c>
      <c r="H546" s="287" t="s">
        <v>2943</v>
      </c>
    </row>
    <row r="547" spans="3:8" x14ac:dyDescent="0.2">
      <c r="C547" s="287" t="s">
        <v>2944</v>
      </c>
      <c r="D547" s="105" t="s">
        <v>2944</v>
      </c>
      <c r="E547" s="105" t="s">
        <v>2944</v>
      </c>
      <c r="F547" s="287" t="s">
        <v>2944</v>
      </c>
      <c r="G547" s="287" t="s">
        <v>2944</v>
      </c>
      <c r="H547" s="287" t="s">
        <v>2944</v>
      </c>
    </row>
    <row r="548" spans="3:8" x14ac:dyDescent="0.2">
      <c r="C548" s="287" t="s">
        <v>2945</v>
      </c>
      <c r="D548" s="105" t="s">
        <v>2945</v>
      </c>
      <c r="E548" s="105" t="s">
        <v>2945</v>
      </c>
      <c r="F548" s="287" t="s">
        <v>2945</v>
      </c>
      <c r="G548" s="287" t="s">
        <v>2945</v>
      </c>
      <c r="H548" s="287" t="s">
        <v>2945</v>
      </c>
    </row>
    <row r="549" spans="3:8" x14ac:dyDescent="0.2">
      <c r="C549" s="287" t="s">
        <v>2953</v>
      </c>
      <c r="D549" s="105" t="s">
        <v>2947</v>
      </c>
      <c r="E549" s="105" t="s">
        <v>2953</v>
      </c>
      <c r="F549" s="287" t="s">
        <v>2953</v>
      </c>
      <c r="G549" s="287" t="s">
        <v>2953</v>
      </c>
      <c r="H549" s="287" t="s">
        <v>2953</v>
      </c>
    </row>
    <row r="550" spans="3:8" x14ac:dyDescent="0.2">
      <c r="C550" s="287" t="s">
        <v>2949</v>
      </c>
      <c r="D550" s="105" t="s">
        <v>2948</v>
      </c>
      <c r="E550" s="105" t="s">
        <v>2949</v>
      </c>
      <c r="F550" s="287" t="s">
        <v>2949</v>
      </c>
      <c r="G550" s="287" t="s">
        <v>2949</v>
      </c>
      <c r="H550" s="287" t="s">
        <v>2949</v>
      </c>
    </row>
    <row r="551" spans="3:8" ht="25.5" x14ac:dyDescent="0.2">
      <c r="C551" s="287" t="s">
        <v>2950</v>
      </c>
      <c r="D551" s="105" t="s">
        <v>2965</v>
      </c>
      <c r="E551" s="105" t="s">
        <v>2950</v>
      </c>
      <c r="F551" s="287" t="s">
        <v>2950</v>
      </c>
      <c r="G551" s="287" t="s">
        <v>2950</v>
      </c>
      <c r="H551" s="287" t="s">
        <v>2950</v>
      </c>
    </row>
    <row r="552" spans="3:8" x14ac:dyDescent="0.2">
      <c r="C552" s="287" t="s">
        <v>2957</v>
      </c>
      <c r="D552" s="105" t="s">
        <v>2956</v>
      </c>
      <c r="E552" s="105" t="s">
        <v>2957</v>
      </c>
      <c r="F552" s="287" t="s">
        <v>2957</v>
      </c>
      <c r="G552" s="287" t="s">
        <v>2957</v>
      </c>
      <c r="H552" s="287" t="s">
        <v>2957</v>
      </c>
    </row>
    <row r="553" spans="3:8" x14ac:dyDescent="0.2">
      <c r="C553" s="287" t="s">
        <v>2952</v>
      </c>
      <c r="D553" s="105" t="s">
        <v>2951</v>
      </c>
      <c r="E553" s="105" t="s">
        <v>2952</v>
      </c>
      <c r="F553" s="287" t="s">
        <v>2952</v>
      </c>
      <c r="G553" s="287" t="s">
        <v>2952</v>
      </c>
      <c r="H553" s="287" t="s">
        <v>2952</v>
      </c>
    </row>
    <row r="554" spans="3:8" x14ac:dyDescent="0.2">
      <c r="C554" s="287" t="s">
        <v>2955</v>
      </c>
      <c r="D554" s="105" t="s">
        <v>2954</v>
      </c>
      <c r="E554" s="105" t="s">
        <v>2955</v>
      </c>
      <c r="F554" s="287" t="s">
        <v>2955</v>
      </c>
      <c r="G554" s="287" t="s">
        <v>2955</v>
      </c>
      <c r="H554" s="287" t="s">
        <v>2955</v>
      </c>
    </row>
    <row r="555" spans="3:8" x14ac:dyDescent="0.2">
      <c r="C555" s="287" t="s">
        <v>2959</v>
      </c>
      <c r="D555" s="105" t="s">
        <v>2958</v>
      </c>
      <c r="E555" s="105" t="s">
        <v>2959</v>
      </c>
      <c r="F555" s="287" t="s">
        <v>2959</v>
      </c>
      <c r="G555" s="287" t="s">
        <v>2959</v>
      </c>
      <c r="H555" s="287" t="s">
        <v>2959</v>
      </c>
    </row>
    <row r="556" spans="3:8" x14ac:dyDescent="0.2">
      <c r="C556" s="287" t="s">
        <v>2961</v>
      </c>
      <c r="D556" s="105" t="s">
        <v>2960</v>
      </c>
      <c r="E556" s="105" t="s">
        <v>2961</v>
      </c>
      <c r="F556" s="287" t="s">
        <v>2961</v>
      </c>
      <c r="G556" s="287" t="s">
        <v>2961</v>
      </c>
      <c r="H556" s="287" t="s">
        <v>2961</v>
      </c>
    </row>
    <row r="557" spans="3:8" x14ac:dyDescent="0.2">
      <c r="C557" s="287" t="s">
        <v>2963</v>
      </c>
      <c r="D557" s="105" t="s">
        <v>2962</v>
      </c>
      <c r="E557" s="105" t="s">
        <v>2963</v>
      </c>
      <c r="F557" s="287" t="s">
        <v>2963</v>
      </c>
      <c r="G557" s="287" t="s">
        <v>2963</v>
      </c>
      <c r="H557" s="287" t="s">
        <v>2963</v>
      </c>
    </row>
    <row r="558" spans="3:8" x14ac:dyDescent="0.2">
      <c r="C558" s="287" t="s">
        <v>2964</v>
      </c>
      <c r="D558" s="118" t="s">
        <v>2964</v>
      </c>
      <c r="E558" s="118" t="s">
        <v>2964</v>
      </c>
      <c r="F558" s="287" t="s">
        <v>2964</v>
      </c>
      <c r="G558" s="287" t="s">
        <v>2964</v>
      </c>
      <c r="H558" s="287" t="s">
        <v>2964</v>
      </c>
    </row>
    <row r="559" spans="3:8" x14ac:dyDescent="0.2">
      <c r="C559" s="287" t="s">
        <v>2972</v>
      </c>
      <c r="D559" s="105" t="s">
        <v>2971</v>
      </c>
      <c r="E559" s="105" t="s">
        <v>2972</v>
      </c>
      <c r="F559" s="287" t="s">
        <v>2972</v>
      </c>
      <c r="G559" s="287" t="s">
        <v>2972</v>
      </c>
      <c r="H559" s="287" t="s">
        <v>2972</v>
      </c>
    </row>
    <row r="560" spans="3:8" x14ac:dyDescent="0.2">
      <c r="C560" s="287" t="s">
        <v>2973</v>
      </c>
      <c r="D560" s="105" t="s">
        <v>2970</v>
      </c>
      <c r="E560" s="105" t="s">
        <v>2973</v>
      </c>
      <c r="F560" s="287" t="s">
        <v>2973</v>
      </c>
      <c r="G560" s="287" t="s">
        <v>2973</v>
      </c>
      <c r="H560" s="287" t="s">
        <v>2973</v>
      </c>
    </row>
    <row r="562" spans="3:9" x14ac:dyDescent="0.2">
      <c r="C562" s="287" t="s">
        <v>3524</v>
      </c>
      <c r="D562" s="105" t="s">
        <v>3523</v>
      </c>
      <c r="E562" s="105" t="s">
        <v>3524</v>
      </c>
      <c r="F562" s="674" t="s">
        <v>3525</v>
      </c>
      <c r="G562" s="674" t="s">
        <v>3527</v>
      </c>
      <c r="H562" s="105" t="s">
        <v>3526</v>
      </c>
      <c r="I562" s="674"/>
    </row>
    <row r="563" spans="3:9" x14ac:dyDescent="0.2">
      <c r="C563" s="287" t="s">
        <v>3532</v>
      </c>
      <c r="D563" s="674" t="s">
        <v>3528</v>
      </c>
      <c r="E563" s="105" t="s">
        <v>3532</v>
      </c>
      <c r="F563" s="674" t="s">
        <v>3529</v>
      </c>
      <c r="G563" s="674" t="s">
        <v>3531</v>
      </c>
      <c r="H563" s="674" t="s">
        <v>3530</v>
      </c>
    </row>
    <row r="721" spans="1:1" x14ac:dyDescent="0.2">
      <c r="A721" s="28" t="s">
        <v>1236</v>
      </c>
    </row>
    <row r="733" spans="1:1" x14ac:dyDescent="0.2">
      <c r="A733" s="28" t="s">
        <v>1236</v>
      </c>
    </row>
    <row r="735" spans="1:1" ht="18" customHeight="1" x14ac:dyDescent="0.2"/>
    <row r="742" spans="1:11" s="128" customFormat="1" ht="13.5" thickBot="1" x14ac:dyDescent="0.25">
      <c r="A742" s="124" t="s">
        <v>1236</v>
      </c>
      <c r="B742" s="125"/>
      <c r="C742" s="289"/>
      <c r="D742" s="126"/>
      <c r="E742" s="126"/>
      <c r="F742" s="126"/>
      <c r="G742" s="126"/>
      <c r="H742" s="126"/>
      <c r="I742" s="127"/>
      <c r="J742" s="23"/>
      <c r="K742" s="29"/>
    </row>
    <row r="743" spans="1:11" x14ac:dyDescent="0.2">
      <c r="A743" s="32" t="s">
        <v>1235</v>
      </c>
      <c r="B743" s="23" t="s">
        <v>583</v>
      </c>
    </row>
    <row r="744" spans="1:11" x14ac:dyDescent="0.2">
      <c r="A744" s="32" t="s">
        <v>1236</v>
      </c>
      <c r="B744" s="114"/>
    </row>
    <row r="745" spans="1:11" x14ac:dyDescent="0.2">
      <c r="A745" s="32" t="s">
        <v>584</v>
      </c>
      <c r="B745" s="32"/>
    </row>
    <row r="746" spans="1:11" x14ac:dyDescent="0.2">
      <c r="A746" s="32" t="s">
        <v>1239</v>
      </c>
      <c r="B746" s="32"/>
    </row>
    <row r="747" spans="1:11" x14ac:dyDescent="0.2">
      <c r="A747" s="32" t="s">
        <v>585</v>
      </c>
      <c r="B747" s="32"/>
    </row>
    <row r="748" spans="1:11" x14ac:dyDescent="0.2">
      <c r="A748" s="104"/>
      <c r="B748" s="32"/>
    </row>
    <row r="749" spans="1:11" x14ac:dyDescent="0.2">
      <c r="A749" s="28" t="s">
        <v>2726</v>
      </c>
      <c r="B749" s="23" t="s">
        <v>961</v>
      </c>
    </row>
    <row r="750" spans="1:11" x14ac:dyDescent="0.2">
      <c r="A750" s="274"/>
      <c r="B750" s="275"/>
    </row>
    <row r="752" spans="1:11" x14ac:dyDescent="0.2">
      <c r="C752" s="287" t="s">
        <v>2835</v>
      </c>
      <c r="D752" s="105" t="s">
        <v>2764</v>
      </c>
      <c r="E752" s="105" t="s">
        <v>2835</v>
      </c>
    </row>
    <row r="753" spans="3:8" x14ac:dyDescent="0.2">
      <c r="C753" s="287" t="s">
        <v>2836</v>
      </c>
      <c r="D753" s="105" t="s">
        <v>2828</v>
      </c>
      <c r="E753" s="105" t="s">
        <v>2836</v>
      </c>
    </row>
    <row r="754" spans="3:8" x14ac:dyDescent="0.2">
      <c r="C754" s="287" t="s">
        <v>2838</v>
      </c>
      <c r="D754" s="105" t="s">
        <v>2829</v>
      </c>
      <c r="E754" s="105" t="s">
        <v>2838</v>
      </c>
    </row>
    <row r="755" spans="3:8" x14ac:dyDescent="0.2">
      <c r="C755" s="287" t="s">
        <v>2839</v>
      </c>
      <c r="D755" s="105" t="s">
        <v>2837</v>
      </c>
      <c r="E755" s="105" t="s">
        <v>2839</v>
      </c>
    </row>
    <row r="756" spans="3:8" x14ac:dyDescent="0.2">
      <c r="C756" s="287" t="s">
        <v>2841</v>
      </c>
      <c r="D756" s="105" t="s">
        <v>2830</v>
      </c>
      <c r="E756" s="105" t="s">
        <v>2841</v>
      </c>
    </row>
    <row r="757" spans="3:8" x14ac:dyDescent="0.2">
      <c r="C757" s="287" t="s">
        <v>625</v>
      </c>
      <c r="D757" s="105" t="s">
        <v>2834</v>
      </c>
      <c r="E757" s="105" t="s">
        <v>625</v>
      </c>
    </row>
    <row r="758" spans="3:8" x14ac:dyDescent="0.2">
      <c r="C758" s="287" t="s">
        <v>2840</v>
      </c>
      <c r="D758" s="105" t="s">
        <v>2832</v>
      </c>
      <c r="E758" s="105" t="s">
        <v>2840</v>
      </c>
    </row>
    <row r="759" spans="3:8" x14ac:dyDescent="0.2">
      <c r="C759" s="287" t="s">
        <v>2842</v>
      </c>
      <c r="D759" s="105" t="s">
        <v>2831</v>
      </c>
      <c r="E759" s="105" t="s">
        <v>2842</v>
      </c>
    </row>
    <row r="760" spans="3:8" x14ac:dyDescent="0.2">
      <c r="C760" s="287" t="s">
        <v>2893</v>
      </c>
      <c r="D760" s="105" t="s">
        <v>2892</v>
      </c>
      <c r="E760" s="105" t="s">
        <v>2893</v>
      </c>
    </row>
    <row r="761" spans="3:8" x14ac:dyDescent="0.2">
      <c r="C761" s="287" t="s">
        <v>2765</v>
      </c>
      <c r="D761" s="105" t="s">
        <v>2833</v>
      </c>
      <c r="E761" s="105" t="s">
        <v>2765</v>
      </c>
      <c r="F761" s="105" t="s">
        <v>2766</v>
      </c>
      <c r="G761" s="105" t="s">
        <v>2768</v>
      </c>
      <c r="H761" s="105" t="s">
        <v>2767</v>
      </c>
    </row>
    <row r="762" spans="3:8" ht="25.5" x14ac:dyDescent="0.2">
      <c r="C762" s="287" t="s">
        <v>2899</v>
      </c>
      <c r="D762" s="105" t="s">
        <v>2855</v>
      </c>
      <c r="E762" s="105" t="s">
        <v>2899</v>
      </c>
    </row>
    <row r="763" spans="3:8" x14ac:dyDescent="0.2">
      <c r="C763" s="287" t="s">
        <v>2988</v>
      </c>
      <c r="D763" s="105" t="s">
        <v>2987</v>
      </c>
      <c r="E763" s="105" t="s">
        <v>2988</v>
      </c>
    </row>
    <row r="764" spans="3:8" x14ac:dyDescent="0.2">
      <c r="C764" s="287" t="s">
        <v>2886</v>
      </c>
      <c r="D764" s="105" t="s">
        <v>2885</v>
      </c>
      <c r="E764" s="105" t="s">
        <v>2886</v>
      </c>
    </row>
    <row r="765" spans="3:8" x14ac:dyDescent="0.2">
      <c r="C765" s="287" t="s">
        <v>2891</v>
      </c>
      <c r="D765" s="105" t="s">
        <v>2890</v>
      </c>
      <c r="E765" s="105" t="s">
        <v>2891</v>
      </c>
    </row>
    <row r="766" spans="3:8" x14ac:dyDescent="0.2">
      <c r="C766" s="287" t="s">
        <v>2895</v>
      </c>
      <c r="D766" s="105" t="s">
        <v>2894</v>
      </c>
      <c r="E766" s="105" t="s">
        <v>2895</v>
      </c>
    </row>
    <row r="767" spans="3:8" ht="51" x14ac:dyDescent="0.2">
      <c r="C767" s="287" t="s">
        <v>625</v>
      </c>
      <c r="D767" s="105" t="s">
        <v>2898</v>
      </c>
      <c r="E767" s="105" t="s">
        <v>625</v>
      </c>
      <c r="F767" s="105" t="s">
        <v>625</v>
      </c>
      <c r="G767" s="105" t="s">
        <v>625</v>
      </c>
      <c r="H767" s="105" t="s">
        <v>625</v>
      </c>
    </row>
    <row r="942" spans="1:1" x14ac:dyDescent="0.2">
      <c r="A942" s="28" t="s">
        <v>1235</v>
      </c>
    </row>
  </sheetData>
  <sheetProtection selectLockedCells="1" selectUnlockedCells="1"/>
  <autoFilter ref="A1:H517"/>
  <phoneticPr fontId="4" type="noConversion"/>
  <pageMargins left="0.75" right="0.75" top="1" bottom="1" header="0.5" footer="0.5"/>
  <pageSetup paperSize="9"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2" enableFormatConditionsCalculation="0">
    <tabColor indexed="62"/>
  </sheetPr>
  <dimension ref="A1:BE102"/>
  <sheetViews>
    <sheetView topLeftCell="A40" zoomScale="55" zoomScaleNormal="55" workbookViewId="0">
      <selection activeCell="M10" sqref="M10"/>
    </sheetView>
  </sheetViews>
  <sheetFormatPr defaultColWidth="8.85546875" defaultRowHeight="12.75" x14ac:dyDescent="0.2"/>
  <cols>
    <col min="1" max="2" width="16.140625" style="2" bestFit="1" customWidth="1"/>
    <col min="3" max="4" width="9" style="2" bestFit="1" customWidth="1"/>
    <col min="5" max="5" width="9.85546875" style="2" bestFit="1" customWidth="1"/>
    <col min="6" max="12" width="9" style="2" bestFit="1" customWidth="1"/>
    <col min="13" max="13" width="8.28515625" style="2" customWidth="1"/>
    <col min="14" max="28" width="9" style="2" bestFit="1" customWidth="1"/>
    <col min="29" max="16384" width="8.85546875" style="2"/>
  </cols>
  <sheetData>
    <row r="1" spans="1:57" x14ac:dyDescent="0.2">
      <c r="A1" s="678" t="s">
        <v>869</v>
      </c>
      <c r="B1" s="678"/>
      <c r="C1" s="679" t="s">
        <v>870</v>
      </c>
      <c r="D1" s="680"/>
      <c r="E1" s="681"/>
    </row>
    <row r="2" spans="1:57" x14ac:dyDescent="0.2">
      <c r="A2" s="6">
        <v>-5674.3590000000004</v>
      </c>
      <c r="B2" s="9">
        <v>-5800.2205999999996</v>
      </c>
      <c r="C2" s="10" t="s">
        <v>863</v>
      </c>
      <c r="D2" s="11"/>
      <c r="E2" s="110">
        <v>1.006</v>
      </c>
      <c r="I2" s="43" t="s">
        <v>2131</v>
      </c>
      <c r="J2" s="43"/>
      <c r="K2" s="43"/>
      <c r="L2" s="43"/>
      <c r="M2" s="44">
        <f>DESIGN!W59</f>
        <v>0</v>
      </c>
    </row>
    <row r="3" spans="1:57" x14ac:dyDescent="0.2">
      <c r="A3" s="6">
        <v>6.3925247000000001</v>
      </c>
      <c r="B3" s="9">
        <v>1.3914993</v>
      </c>
      <c r="C3" s="12" t="s">
        <v>864</v>
      </c>
      <c r="D3" s="13"/>
      <c r="E3" s="110">
        <v>1.8049999999999999</v>
      </c>
      <c r="I3" s="4" t="s">
        <v>2132</v>
      </c>
      <c r="J3" s="4"/>
      <c r="K3" s="4"/>
      <c r="L3" s="4"/>
      <c r="M3" s="111">
        <v>3</v>
      </c>
    </row>
    <row r="4" spans="1:57" x14ac:dyDescent="0.2">
      <c r="A4" s="6">
        <v>-9.6778430000000002E-3</v>
      </c>
      <c r="B4" s="9">
        <v>-4.8640239000000002E-2</v>
      </c>
      <c r="C4" s="12" t="s">
        <v>865</v>
      </c>
      <c r="D4" s="13"/>
      <c r="E4" s="110">
        <v>2501</v>
      </c>
      <c r="I4" s="4"/>
      <c r="J4" s="4"/>
      <c r="K4" s="4"/>
      <c r="L4" s="4"/>
      <c r="M4" s="4"/>
      <c r="O4" s="46"/>
      <c r="P4" s="46"/>
      <c r="Q4" s="46"/>
      <c r="R4" s="46"/>
      <c r="S4" s="46"/>
      <c r="T4" s="46"/>
    </row>
    <row r="5" spans="1:57" x14ac:dyDescent="0.2">
      <c r="A5" s="6">
        <v>6.2215700999999996E-7</v>
      </c>
      <c r="B5" s="9">
        <v>4.1764768000000003E-5</v>
      </c>
      <c r="C5" s="12" t="s">
        <v>866</v>
      </c>
      <c r="D5" s="13"/>
      <c r="E5" s="110">
        <v>8313.6</v>
      </c>
      <c r="I5" s="4"/>
      <c r="J5" s="4"/>
      <c r="K5" s="4"/>
      <c r="L5" s="4"/>
      <c r="M5" s="4"/>
      <c r="O5" s="46"/>
      <c r="P5" s="46"/>
      <c r="Q5" s="46"/>
      <c r="R5" s="46"/>
      <c r="S5" s="46"/>
      <c r="T5" s="46"/>
      <c r="BE5" s="4"/>
    </row>
    <row r="6" spans="1:57" x14ac:dyDescent="0.2">
      <c r="A6" s="6">
        <v>2.0747825000000001E-9</v>
      </c>
      <c r="B6" s="9">
        <v>-1.4452092999999999E-8</v>
      </c>
      <c r="C6" s="14" t="s">
        <v>875</v>
      </c>
      <c r="D6" s="15"/>
      <c r="E6" s="27">
        <f>101325*(1-$B$12*0.0000225577)^5.2559</f>
        <v>101325</v>
      </c>
      <c r="I6" s="45" t="s">
        <v>959</v>
      </c>
      <c r="J6" s="45"/>
      <c r="K6" s="45"/>
      <c r="L6" s="45"/>
      <c r="M6" s="112">
        <f>DESIGN!E86</f>
        <v>1</v>
      </c>
      <c r="N6" s="2" t="s">
        <v>2114</v>
      </c>
      <c r="O6" s="47"/>
      <c r="P6" s="31"/>
      <c r="Q6" s="31"/>
      <c r="R6" s="31"/>
      <c r="S6" s="48"/>
      <c r="T6" s="46"/>
      <c r="BE6" s="4"/>
    </row>
    <row r="7" spans="1:57" x14ac:dyDescent="0.2">
      <c r="A7" s="6">
        <v>-9.4840240000000005E-13</v>
      </c>
      <c r="B7" s="6">
        <v>0</v>
      </c>
      <c r="C7" s="16" t="s">
        <v>873</v>
      </c>
      <c r="D7" s="17"/>
      <c r="E7" s="110">
        <v>1.004</v>
      </c>
      <c r="I7" s="45" t="s">
        <v>2331</v>
      </c>
      <c r="J7" s="45"/>
      <c r="K7" s="45"/>
      <c r="L7" s="45"/>
      <c r="M7" s="113">
        <v>0.5</v>
      </c>
      <c r="O7" s="47"/>
      <c r="P7" s="31"/>
      <c r="Q7" s="31"/>
      <c r="R7" s="31"/>
      <c r="S7" s="48"/>
      <c r="T7" s="46"/>
      <c r="BE7" s="4"/>
    </row>
    <row r="8" spans="1:57" x14ac:dyDescent="0.2">
      <c r="A8" s="6">
        <v>4.1635019</v>
      </c>
      <c r="B8" s="6">
        <v>6.5459673</v>
      </c>
      <c r="C8" s="16" t="s">
        <v>876</v>
      </c>
      <c r="D8" s="17"/>
      <c r="E8" s="110">
        <v>273.14999999999998</v>
      </c>
      <c r="O8" s="47"/>
      <c r="P8" s="31"/>
      <c r="Q8" s="31"/>
      <c r="R8" s="31"/>
      <c r="S8" s="48"/>
      <c r="T8" s="46"/>
      <c r="BE8" s="4"/>
    </row>
    <row r="9" spans="1:57" x14ac:dyDescent="0.2">
      <c r="I9" s="13"/>
      <c r="J9" s="13"/>
      <c r="K9" s="13"/>
      <c r="L9" s="13"/>
      <c r="M9" s="35"/>
      <c r="O9" s="46"/>
      <c r="P9" s="46"/>
      <c r="Q9" s="46"/>
      <c r="R9" s="46"/>
      <c r="S9" s="46"/>
      <c r="T9" s="46"/>
      <c r="BE9" s="4"/>
    </row>
    <row r="10" spans="1:57" x14ac:dyDescent="0.2">
      <c r="A10" s="2" t="s">
        <v>871</v>
      </c>
      <c r="B10" s="110">
        <v>-5</v>
      </c>
      <c r="I10" s="2" t="s">
        <v>2288</v>
      </c>
      <c r="M10" s="112" t="s">
        <v>906</v>
      </c>
      <c r="BE10" s="4"/>
    </row>
    <row r="11" spans="1:57" x14ac:dyDescent="0.2">
      <c r="A11" s="2" t="s">
        <v>872</v>
      </c>
      <c r="B11" s="110">
        <v>2</v>
      </c>
      <c r="I11" s="2" t="s">
        <v>1410</v>
      </c>
      <c r="M11" s="49">
        <v>200</v>
      </c>
      <c r="BE11" s="4"/>
    </row>
    <row r="12" spans="1:57" x14ac:dyDescent="0.2">
      <c r="A12" s="2" t="s">
        <v>874</v>
      </c>
      <c r="B12" s="2">
        <f>DESIGN!E33</f>
        <v>0</v>
      </c>
      <c r="BE12" s="4"/>
    </row>
    <row r="13" spans="1:57" x14ac:dyDescent="0.2">
      <c r="B13" s="18"/>
      <c r="BE13" s="4"/>
    </row>
    <row r="14" spans="1:57" x14ac:dyDescent="0.2">
      <c r="BE14" s="4"/>
    </row>
    <row r="15" spans="1:57" x14ac:dyDescent="0.2">
      <c r="BE15" s="4"/>
    </row>
    <row r="16" spans="1:57" x14ac:dyDescent="0.2">
      <c r="BE16" s="4"/>
    </row>
    <row r="17" spans="1:57" x14ac:dyDescent="0.2">
      <c r="BE17" s="4"/>
    </row>
    <row r="18" spans="1:57" x14ac:dyDescent="0.2">
      <c r="N18" s="2" t="s">
        <v>881</v>
      </c>
      <c r="O18" s="2" t="s">
        <v>881</v>
      </c>
      <c r="P18" s="2" t="s">
        <v>881</v>
      </c>
      <c r="Q18" s="2" t="s">
        <v>881</v>
      </c>
      <c r="R18" s="2" t="s">
        <v>881</v>
      </c>
      <c r="S18" s="2" t="s">
        <v>881</v>
      </c>
      <c r="T18" s="2" t="s">
        <v>881</v>
      </c>
      <c r="U18" s="2" t="s">
        <v>881</v>
      </c>
      <c r="V18" s="2" t="s">
        <v>881</v>
      </c>
      <c r="W18" s="2" t="s">
        <v>881</v>
      </c>
      <c r="X18" s="2" t="s">
        <v>881</v>
      </c>
      <c r="Y18" s="2" t="s">
        <v>881</v>
      </c>
      <c r="Z18" s="2" t="s">
        <v>881</v>
      </c>
      <c r="AA18" s="2" t="s">
        <v>881</v>
      </c>
      <c r="AB18" s="2" t="s">
        <v>881</v>
      </c>
      <c r="AC18" s="2" t="s">
        <v>881</v>
      </c>
      <c r="AD18" s="2" t="s">
        <v>881</v>
      </c>
      <c r="AE18" s="2" t="s">
        <v>881</v>
      </c>
      <c r="AF18" s="2" t="s">
        <v>881</v>
      </c>
      <c r="AG18" s="2" t="s">
        <v>881</v>
      </c>
      <c r="AH18" s="2" t="s">
        <v>881</v>
      </c>
      <c r="AI18" s="2" t="s">
        <v>881</v>
      </c>
      <c r="AJ18" s="2" t="s">
        <v>881</v>
      </c>
      <c r="AK18" s="2" t="s">
        <v>881</v>
      </c>
      <c r="AL18" s="2" t="s">
        <v>881</v>
      </c>
      <c r="AM18" s="2" t="s">
        <v>881</v>
      </c>
      <c r="AN18" s="2" t="s">
        <v>881</v>
      </c>
      <c r="AO18" s="2" t="s">
        <v>881</v>
      </c>
      <c r="AP18" s="2" t="s">
        <v>881</v>
      </c>
      <c r="AQ18" s="2" t="s">
        <v>881</v>
      </c>
      <c r="AR18" s="2" t="s">
        <v>881</v>
      </c>
      <c r="BE18" s="4"/>
    </row>
    <row r="19" spans="1:57" x14ac:dyDescent="0.2">
      <c r="N19" s="19">
        <f>$E$2*N20+N21*($E$4+$E$3*N20)/1000</f>
        <v>1.1690960621912332</v>
      </c>
      <c r="O19" s="19">
        <f t="shared" ref="O19:AR19" si="0">$E$2*O20+O21*($E$4+$E$3*O20)/1000</f>
        <v>4.3434678475893991</v>
      </c>
      <c r="P19" s="19">
        <f t="shared" si="0"/>
        <v>7.7148858457294498</v>
      </c>
      <c r="Q19" s="19">
        <f t="shared" si="0"/>
        <v>11.207643175776152</v>
      </c>
      <c r="R19" s="19">
        <f t="shared" si="0"/>
        <v>14.815987512075139</v>
      </c>
      <c r="S19" s="19">
        <f t="shared" si="0"/>
        <v>18.644486129611849</v>
      </c>
      <c r="T19" s="19">
        <f t="shared" si="0"/>
        <v>22.719587874073632</v>
      </c>
      <c r="U19" s="19">
        <f t="shared" si="0"/>
        <v>27.070527326293465</v>
      </c>
      <c r="V19" s="19">
        <f t="shared" si="0"/>
        <v>31.729603951125092</v>
      </c>
      <c r="W19" s="19">
        <f t="shared" si="0"/>
        <v>36.73249494128796</v>
      </c>
      <c r="X19" s="19">
        <f t="shared" si="0"/>
        <v>42.118607528360215</v>
      </c>
      <c r="Y19" s="19">
        <f t="shared" si="0"/>
        <v>47.931477721214733</v>
      </c>
      <c r="Z19" s="19">
        <f t="shared" si="0"/>
        <v>54.219223882414468</v>
      </c>
      <c r="AA19" s="19">
        <f t="shared" si="0"/>
        <v>61.035065330222778</v>
      </c>
      <c r="AB19" s="19">
        <f t="shared" si="0"/>
        <v>68.437918341411788</v>
      </c>
      <c r="AC19" s="19">
        <f t="shared" si="0"/>
        <v>76.493084636030034</v>
      </c>
      <c r="AD19" s="19">
        <f t="shared" si="0"/>
        <v>85.273050790641122</v>
      </c>
      <c r="AE19" s="19">
        <f t="shared" si="0"/>
        <v>94.858421235984139</v>
      </c>
      <c r="AF19" s="19">
        <f t="shared" si="0"/>
        <v>105.33901279268258</v>
      </c>
      <c r="AG19" s="19">
        <f t="shared" si="0"/>
        <v>116.8151454092459</v>
      </c>
      <c r="AH19" s="19">
        <f t="shared" si="0"/>
        <v>129.39917232522345</v>
      </c>
      <c r="AI19" s="19">
        <f t="shared" si="0"/>
        <v>143.21730387695504</v>
      </c>
      <c r="AJ19" s="19">
        <f t="shared" si="0"/>
        <v>158.41179339436334</v>
      </c>
      <c r="AK19" s="19">
        <f t="shared" si="0"/>
        <v>175.1435722051153</v>
      </c>
      <c r="AL19" s="19">
        <f t="shared" si="0"/>
        <v>193.59544519343632</v>
      </c>
      <c r="AM19" s="19">
        <f t="shared" si="0"/>
        <v>213.97599079375863</v>
      </c>
      <c r="AN19" s="19">
        <f t="shared" si="0"/>
        <v>236.52435276328748</v>
      </c>
      <c r="AO19" s="19">
        <f t="shared" si="0"/>
        <v>261.51616991229065</v>
      </c>
      <c r="AP19" s="19">
        <f t="shared" si="0"/>
        <v>289.27097047009488</v>
      </c>
      <c r="AQ19" s="19">
        <f t="shared" si="0"/>
        <v>320.16146917721022</v>
      </c>
      <c r="AR19" s="19">
        <f t="shared" si="0"/>
        <v>354.62536130370023</v>
      </c>
      <c r="BE19" s="4"/>
    </row>
    <row r="20" spans="1:57" x14ac:dyDescent="0.2">
      <c r="D20" s="2" t="s">
        <v>880</v>
      </c>
      <c r="N20" s="2">
        <f>$B$10</f>
        <v>-5</v>
      </c>
      <c r="O20" s="2">
        <f>N20+$B$11</f>
        <v>-3</v>
      </c>
      <c r="P20" s="2">
        <f t="shared" ref="P20:AR20" si="1">O20+$B$11</f>
        <v>-1</v>
      </c>
      <c r="Q20" s="2">
        <f t="shared" si="1"/>
        <v>1</v>
      </c>
      <c r="R20" s="2">
        <f t="shared" si="1"/>
        <v>3</v>
      </c>
      <c r="S20" s="2">
        <f t="shared" si="1"/>
        <v>5</v>
      </c>
      <c r="T20" s="2">
        <f t="shared" si="1"/>
        <v>7</v>
      </c>
      <c r="U20" s="2">
        <f t="shared" si="1"/>
        <v>9</v>
      </c>
      <c r="V20" s="2">
        <f t="shared" si="1"/>
        <v>11</v>
      </c>
      <c r="W20" s="2">
        <f t="shared" si="1"/>
        <v>13</v>
      </c>
      <c r="X20" s="2">
        <f t="shared" si="1"/>
        <v>15</v>
      </c>
      <c r="Y20" s="2">
        <f t="shared" si="1"/>
        <v>17</v>
      </c>
      <c r="Z20" s="2">
        <f t="shared" si="1"/>
        <v>19</v>
      </c>
      <c r="AA20" s="2">
        <f t="shared" si="1"/>
        <v>21</v>
      </c>
      <c r="AB20" s="2">
        <f t="shared" si="1"/>
        <v>23</v>
      </c>
      <c r="AC20" s="2">
        <f t="shared" si="1"/>
        <v>25</v>
      </c>
      <c r="AD20" s="2">
        <f t="shared" si="1"/>
        <v>27</v>
      </c>
      <c r="AE20" s="2">
        <f t="shared" si="1"/>
        <v>29</v>
      </c>
      <c r="AF20" s="2">
        <f t="shared" si="1"/>
        <v>31</v>
      </c>
      <c r="AG20" s="2">
        <f t="shared" si="1"/>
        <v>33</v>
      </c>
      <c r="AH20" s="2">
        <f t="shared" si="1"/>
        <v>35</v>
      </c>
      <c r="AI20" s="2">
        <f t="shared" si="1"/>
        <v>37</v>
      </c>
      <c r="AJ20" s="2">
        <f t="shared" si="1"/>
        <v>39</v>
      </c>
      <c r="AK20" s="2">
        <f t="shared" si="1"/>
        <v>41</v>
      </c>
      <c r="AL20" s="2">
        <f t="shared" si="1"/>
        <v>43</v>
      </c>
      <c r="AM20" s="2">
        <f t="shared" si="1"/>
        <v>45</v>
      </c>
      <c r="AN20" s="2">
        <f t="shared" si="1"/>
        <v>47</v>
      </c>
      <c r="AO20" s="2">
        <f t="shared" si="1"/>
        <v>49</v>
      </c>
      <c r="AP20" s="2">
        <f t="shared" si="1"/>
        <v>51</v>
      </c>
      <c r="AQ20" s="2">
        <f t="shared" si="1"/>
        <v>53</v>
      </c>
      <c r="AR20" s="2">
        <f t="shared" si="1"/>
        <v>55</v>
      </c>
      <c r="BE20" s="4"/>
    </row>
    <row r="21" spans="1:57" x14ac:dyDescent="0.2">
      <c r="A21" s="2" t="s">
        <v>878</v>
      </c>
      <c r="B21" s="2" t="s">
        <v>877</v>
      </c>
      <c r="C21" s="2" t="s">
        <v>879</v>
      </c>
      <c r="D21" s="18">
        <v>0.1</v>
      </c>
      <c r="E21" s="18">
        <v>0.2</v>
      </c>
      <c r="F21" s="18">
        <v>0.3</v>
      </c>
      <c r="G21" s="18">
        <v>0.4</v>
      </c>
      <c r="H21" s="18">
        <v>0.5</v>
      </c>
      <c r="I21" s="18">
        <v>0.6</v>
      </c>
      <c r="J21" s="18">
        <v>0.7</v>
      </c>
      <c r="K21" s="18">
        <v>0.8</v>
      </c>
      <c r="L21" s="18">
        <v>0.9</v>
      </c>
      <c r="M21" s="18">
        <v>1</v>
      </c>
      <c r="N21" s="20">
        <f>M22</f>
        <v>2.4876236969436829</v>
      </c>
      <c r="O21" s="20">
        <f>M23</f>
        <v>2.9497964796187661</v>
      </c>
      <c r="P21" s="20">
        <f>M24</f>
        <v>3.4894779501917412</v>
      </c>
      <c r="Q21" s="20">
        <f>M25</f>
        <v>4.0760839041699821</v>
      </c>
      <c r="R21" s="20">
        <f>M26</f>
        <v>4.7071165437787199</v>
      </c>
      <c r="S21" s="20">
        <f>M27</f>
        <v>5.424044035263333</v>
      </c>
      <c r="T21" s="20">
        <f>M28</f>
        <v>6.2370184509977111</v>
      </c>
      <c r="U21" s="20">
        <f>M29</f>
        <v>7.1572402870175393</v>
      </c>
      <c r="V21" s="20">
        <f>M30</f>
        <v>8.1970616918169004</v>
      </c>
      <c r="W21" s="20">
        <f>M31</f>
        <v>9.3701021568086542</v>
      </c>
      <c r="X21" s="20">
        <f>M32</f>
        <v>10.691378827115578</v>
      </c>
      <c r="Y21" s="20">
        <f>M33</f>
        <v>12.177454036033211</v>
      </c>
      <c r="Z21" s="20">
        <f>M34</f>
        <v>13.846603208863057</v>
      </c>
      <c r="AA21" s="20">
        <f>M35</f>
        <v>15.719006945995526</v>
      </c>
      <c r="AB21" s="20">
        <f>M36</f>
        <v>17.816971912225409</v>
      </c>
      <c r="AC21" s="20">
        <f>M37</f>
        <v>20.165186169583201</v>
      </c>
      <c r="AD21" s="20">
        <f>M38</f>
        <v>22.791015846996306</v>
      </c>
      <c r="AE21" s="20">
        <f>M39</f>
        <v>25.724851610724027</v>
      </c>
      <c r="AF21" s="20">
        <f>M40</f>
        <v>29.000515375781973</v>
      </c>
      <c r="AG21" s="20">
        <f>M41</f>
        <v>32.655740201575</v>
      </c>
      <c r="AH21" s="20">
        <f>M42</f>
        <v>36.732739506946075</v>
      </c>
      <c r="AI21" s="20">
        <f>M43</f>
        <v>41.27888584011319</v>
      </c>
      <c r="AJ21" s="20">
        <f>M44</f>
        <v>46.347524746047711</v>
      </c>
      <c r="AK21" s="20">
        <f>M45</f>
        <v>51.998956198188075</v>
      </c>
      <c r="AL21" s="20">
        <f>M46</f>
        <v>58.301625172209242</v>
      </c>
      <c r="AM21" s="20">
        <f>M47</f>
        <v>65.333575034614967</v>
      </c>
      <c r="AN21" s="20">
        <f>M48</f>
        <v>73.184233627933509</v>
      </c>
      <c r="AO21" s="20">
        <f>M49</f>
        <v>81.956623875884858</v>
      </c>
      <c r="AP21" s="20">
        <f>M50</f>
        <v>91.770120753356537</v>
      </c>
      <c r="AQ21" s="20">
        <f>M51</f>
        <v>102.76391801684477</v>
      </c>
      <c r="AR21" s="20">
        <f>M52</f>
        <v>115.10142631210171</v>
      </c>
      <c r="BE21" s="4"/>
    </row>
    <row r="22" spans="1:57" x14ac:dyDescent="0.2">
      <c r="A22" s="2">
        <f>$B$10</f>
        <v>-5</v>
      </c>
      <c r="B22" s="2">
        <f t="shared" ref="B22:B52" si="2">A22+$E$8</f>
        <v>268.14999999999998</v>
      </c>
      <c r="C22" s="2">
        <f t="shared" ref="C22:C52" si="3">IF(A22&lt;0,EXP($A$2/B22+$A$3+$A$4*B22+$A$5*(B22^2)+$A$6*(B22^3)+$A$7*(B22^4)+$A$8*LN(B22)),EXP($B$2/B22+$B$3+$B$4*B22+$B$5*(B22^2)+$B$6*(B22^3)+$B$7*(B22^4)+$B$8*LN(B22)))</f>
        <v>402.02925588076624</v>
      </c>
      <c r="D22" s="20">
        <f t="shared" ref="D22:M38" si="4">0.62198*1000*$E$7*D$21*$C22/($E$6-$E$7*D$21*$C22)</f>
        <v>0.24787014345179789</v>
      </c>
      <c r="E22" s="20">
        <f t="shared" si="4"/>
        <v>0.49593792702886635</v>
      </c>
      <c r="F22" s="20">
        <f t="shared" si="4"/>
        <v>0.74420358720905089</v>
      </c>
      <c r="G22" s="20">
        <f t="shared" si="4"/>
        <v>0.99266736084761031</v>
      </c>
      <c r="H22" s="20">
        <f t="shared" si="4"/>
        <v>1.2413294851779706</v>
      </c>
      <c r="I22" s="20">
        <f t="shared" si="4"/>
        <v>1.4901901978124805</v>
      </c>
      <c r="J22" s="20">
        <f t="shared" si="4"/>
        <v>1.7392497367431665</v>
      </c>
      <c r="K22" s="20">
        <f t="shared" si="4"/>
        <v>1.9885083403424939</v>
      </c>
      <c r="L22" s="20">
        <f t="shared" si="4"/>
        <v>2.2379662473641253</v>
      </c>
      <c r="M22" s="20">
        <f t="shared" si="4"/>
        <v>2.4876236969436829</v>
      </c>
      <c r="N22" s="20">
        <f t="shared" ref="N22:AC37" si="5">1000*(N$19-$E$2*$A22)/($E$4+$E$3*$A22)</f>
        <v>2.4876236969436829</v>
      </c>
      <c r="O22" s="20">
        <f t="shared" si="5"/>
        <v>3.7614614302267881</v>
      </c>
      <c r="P22" s="20">
        <f t="shared" si="5"/>
        <v>5.1143714707127685</v>
      </c>
      <c r="Q22" s="20">
        <f t="shared" si="5"/>
        <v>6.5159735453911667</v>
      </c>
      <c r="R22" s="20">
        <f t="shared" si="5"/>
        <v>7.963959314228731</v>
      </c>
      <c r="S22" s="20">
        <f t="shared" si="5"/>
        <v>9.5002903839773083</v>
      </c>
      <c r="T22" s="20">
        <f t="shared" si="5"/>
        <v>11.135580362593378</v>
      </c>
      <c r="U22" s="20">
        <f t="shared" si="5"/>
        <v>12.881560740494374</v>
      </c>
      <c r="V22" s="20">
        <f t="shared" si="5"/>
        <v>14.751192909690143</v>
      </c>
      <c r="W22" s="20">
        <f t="shared" si="5"/>
        <v>16.758793704306008</v>
      </c>
      <c r="X22" s="20">
        <f t="shared" si="5"/>
        <v>18.920176778804048</v>
      </c>
      <c r="Y22" s="20">
        <f t="shared" si="5"/>
        <v>21.252812616986418</v>
      </c>
      <c r="Z22" s="20">
        <f t="shared" si="5"/>
        <v>23.776010546821084</v>
      </c>
      <c r="AA22" s="20">
        <f t="shared" si="5"/>
        <v>26.511126849275282</v>
      </c>
      <c r="AB22" s="20">
        <f t="shared" si="5"/>
        <v>29.481803927170933</v>
      </c>
      <c r="AC22" s="20">
        <f t="shared" si="5"/>
        <v>32.714246585952921</v>
      </c>
      <c r="AD22" s="20">
        <f t="shared" ref="AD22:AR37" si="6">1000*(AD$19-$E$2*$A22)/($E$4+$E$3*$A22)</f>
        <v>36.237542828736693</v>
      </c>
      <c r="AE22" s="20">
        <f t="shared" si="6"/>
        <v>40.084038257199268</v>
      </c>
      <c r="AF22" s="20">
        <f t="shared" si="6"/>
        <v>44.289775295772465</v>
      </c>
      <c r="AG22" s="20">
        <f t="shared" si="6"/>
        <v>48.895011149488219</v>
      </c>
      <c r="AH22" s="20">
        <f t="shared" si="6"/>
        <v>53.944831840296736</v>
      </c>
      <c r="AI22" s="20">
        <f t="shared" si="6"/>
        <v>59.489884078674564</v>
      </c>
      <c r="AJ22" s="20">
        <f t="shared" si="6"/>
        <v>65.587252438071545</v>
      </c>
      <c r="AK22" s="20">
        <f t="shared" si="6"/>
        <v>72.301516750816248</v>
      </c>
      <c r="AL22" s="20">
        <f t="shared" si="6"/>
        <v>79.706034447952462</v>
      </c>
      <c r="AM22" s="20">
        <f t="shared" si="6"/>
        <v>87.884505580416587</v>
      </c>
      <c r="AN22" s="20">
        <f t="shared" si="6"/>
        <v>96.932895700513654</v>
      </c>
      <c r="AO22" s="20">
        <f t="shared" si="6"/>
        <v>106.96181539232563</v>
      </c>
      <c r="AP22" s="20">
        <f t="shared" si="6"/>
        <v>118.09948754305115</v>
      </c>
      <c r="AQ22" s="20">
        <f t="shared" si="6"/>
        <v>130.49547815576409</v>
      </c>
      <c r="AR22" s="20">
        <f t="shared" si="6"/>
        <v>144.32542914904852</v>
      </c>
      <c r="BE22" s="4"/>
    </row>
    <row r="23" spans="1:57" x14ac:dyDescent="0.2">
      <c r="A23" s="2">
        <f t="shared" ref="A23:A52" si="7">A22+$B$11</f>
        <v>-3</v>
      </c>
      <c r="B23" s="2">
        <f t="shared" si="2"/>
        <v>270.14999999999998</v>
      </c>
      <c r="C23" s="2">
        <f t="shared" si="3"/>
        <v>476.36925078401833</v>
      </c>
      <c r="D23" s="20">
        <f t="shared" si="4"/>
        <v>0.29372592832713451</v>
      </c>
      <c r="E23" s="20">
        <f t="shared" si="4"/>
        <v>0.58772940796775253</v>
      </c>
      <c r="F23" s="20">
        <f t="shared" si="4"/>
        <v>0.88201083250889079</v>
      </c>
      <c r="G23" s="20">
        <f t="shared" si="4"/>
        <v>1.176570596282116</v>
      </c>
      <c r="H23" s="20">
        <f t="shared" si="4"/>
        <v>1.4714090943652869</v>
      </c>
      <c r="I23" s="20">
        <f t="shared" si="4"/>
        <v>1.7665267225843204</v>
      </c>
      <c r="J23" s="20">
        <f t="shared" si="4"/>
        <v>2.0619238775149609</v>
      </c>
      <c r="K23" s="20">
        <f t="shared" si="4"/>
        <v>2.3576009564845615</v>
      </c>
      <c r="L23" s="20">
        <f t="shared" si="4"/>
        <v>2.6535583575738588</v>
      </c>
      <c r="M23" s="20">
        <f t="shared" si="4"/>
        <v>2.9497964796187661</v>
      </c>
      <c r="N23" s="20">
        <f t="shared" si="5"/>
        <v>1.6778014221880773</v>
      </c>
      <c r="O23" s="20">
        <f t="shared" si="5"/>
        <v>2.9497964796187661</v>
      </c>
      <c r="P23" s="20">
        <f t="shared" si="5"/>
        <v>4.3007494618413915</v>
      </c>
      <c r="Q23" s="20">
        <f t="shared" si="5"/>
        <v>5.7003240425696386</v>
      </c>
      <c r="R23" s="20">
        <f t="shared" si="5"/>
        <v>7.1462152209101824</v>
      </c>
      <c r="S23" s="20">
        <f t="shared" si="5"/>
        <v>8.6803239038589552</v>
      </c>
      <c r="T23" s="20">
        <f t="shared" si="5"/>
        <v>10.313248346208859</v>
      </c>
      <c r="U23" s="20">
        <f t="shared" si="5"/>
        <v>12.056703068135713</v>
      </c>
      <c r="V23" s="20">
        <f t="shared" si="5"/>
        <v>13.923630712287938</v>
      </c>
      <c r="W23" s="20">
        <f t="shared" si="5"/>
        <v>15.928327402708366</v>
      </c>
      <c r="X23" s="20">
        <f t="shared" si="5"/>
        <v>18.086583918544235</v>
      </c>
      <c r="Y23" s="20">
        <f t="shared" si="5"/>
        <v>20.415845471588717</v>
      </c>
      <c r="Z23" s="20">
        <f t="shared" si="5"/>
        <v>22.935393457812282</v>
      </c>
      <c r="AA23" s="20">
        <f t="shared" si="5"/>
        <v>25.666553265155375</v>
      </c>
      <c r="AB23" s="20">
        <f t="shared" si="5"/>
        <v>28.63293309641298</v>
      </c>
      <c r="AC23" s="20">
        <f t="shared" si="5"/>
        <v>31.860699850347729</v>
      </c>
      <c r="AD23" s="20">
        <f t="shared" si="6"/>
        <v>35.3788994526899</v>
      </c>
      <c r="AE23" s="20">
        <f t="shared" si="6"/>
        <v>39.219830715437112</v>
      </c>
      <c r="AF23" s="20">
        <f t="shared" si="6"/>
        <v>43.419483925685796</v>
      </c>
      <c r="AG23" s="20">
        <f t="shared" si="6"/>
        <v>48.018058054222116</v>
      </c>
      <c r="AH23" s="20">
        <f t="shared" si="6"/>
        <v>53.060573903603142</v>
      </c>
      <c r="AI23" s="20">
        <f t="shared" si="6"/>
        <v>58.597604921072623</v>
      </c>
      <c r="AJ23" s="20">
        <f t="shared" si="6"/>
        <v>64.686153104127229</v>
      </c>
      <c r="AK23" s="20">
        <f t="shared" si="6"/>
        <v>71.390704866840963</v>
      </c>
      <c r="AL23" s="20">
        <f t="shared" si="6"/>
        <v>78.784511524727193</v>
      </c>
      <c r="AM23" s="20">
        <f t="shared" si="6"/>
        <v>86.951152052027325</v>
      </c>
      <c r="AN23" s="20">
        <f t="shared" si="6"/>
        <v>95.986453181633763</v>
      </c>
      <c r="AO23" s="20">
        <f t="shared" si="6"/>
        <v>106.00086549337756</v>
      </c>
      <c r="AP23" s="20">
        <f t="shared" si="6"/>
        <v>117.12242639304807</v>
      </c>
      <c r="AQ23" s="20">
        <f t="shared" si="6"/>
        <v>129.50048552832709</v>
      </c>
      <c r="AR23" s="20">
        <f t="shared" si="6"/>
        <v>143.31043074217075</v>
      </c>
      <c r="BE23" s="4"/>
    </row>
    <row r="24" spans="1:57" x14ac:dyDescent="0.2">
      <c r="A24" s="2">
        <f t="shared" si="7"/>
        <v>-1</v>
      </c>
      <c r="B24" s="2">
        <f t="shared" si="2"/>
        <v>272.14999999999998</v>
      </c>
      <c r="C24" s="2">
        <f t="shared" si="3"/>
        <v>563.03739016542261</v>
      </c>
      <c r="D24" s="20">
        <f t="shared" si="4"/>
        <v>0.34719472337942703</v>
      </c>
      <c r="E24" s="20">
        <f t="shared" si="4"/>
        <v>0.69477727756481966</v>
      </c>
      <c r="F24" s="20">
        <f t="shared" si="4"/>
        <v>1.0427483127538022</v>
      </c>
      <c r="G24" s="20">
        <f t="shared" si="4"/>
        <v>1.3911084805982192</v>
      </c>
      <c r="H24" s="20">
        <f t="shared" si="4"/>
        <v>1.7398584342082015</v>
      </c>
      <c r="I24" s="20">
        <f t="shared" si="4"/>
        <v>2.0889988281562499</v>
      </c>
      <c r="J24" s="20">
        <f t="shared" si="4"/>
        <v>2.4385303184813285</v>
      </c>
      <c r="K24" s="20">
        <f t="shared" si="4"/>
        <v>2.7884535626929763</v>
      </c>
      <c r="L24" s="20">
        <f t="shared" si="4"/>
        <v>3.1387692197754249</v>
      </c>
      <c r="M24" s="20">
        <f t="shared" si="4"/>
        <v>3.4894779501917412</v>
      </c>
      <c r="N24" s="20">
        <f t="shared" si="5"/>
        <v>0.87031866748742437</v>
      </c>
      <c r="O24" s="20">
        <f t="shared" si="5"/>
        <v>2.1404763724276816</v>
      </c>
      <c r="P24" s="20">
        <f t="shared" si="5"/>
        <v>3.4894779501917417</v>
      </c>
      <c r="Q24" s="20">
        <f t="shared" si="5"/>
        <v>4.8870308942584124</v>
      </c>
      <c r="R24" s="20">
        <f t="shared" si="5"/>
        <v>6.3308335332277554</v>
      </c>
      <c r="S24" s="20">
        <f t="shared" si="5"/>
        <v>7.8627262496971424</v>
      </c>
      <c r="T24" s="20">
        <f t="shared" si="5"/>
        <v>9.4932919896501193</v>
      </c>
      <c r="U24" s="20">
        <f t="shared" si="5"/>
        <v>11.234228352046744</v>
      </c>
      <c r="V24" s="20">
        <f t="shared" si="5"/>
        <v>13.098459284339594</v>
      </c>
      <c r="W24" s="20">
        <f t="shared" si="5"/>
        <v>15.100260260319004</v>
      </c>
      <c r="X24" s="20">
        <f t="shared" si="5"/>
        <v>17.255399249902556</v>
      </c>
      <c r="Y24" s="20">
        <f t="shared" si="5"/>
        <v>19.581296265883505</v>
      </c>
      <c r="Z24" s="20">
        <f t="shared" si="5"/>
        <v>22.097204852928428</v>
      </c>
      <c r="AA24" s="20">
        <f t="shared" si="5"/>
        <v>24.824419595198766</v>
      </c>
      <c r="AB24" s="20">
        <f t="shared" si="5"/>
        <v>27.786514594264066</v>
      </c>
      <c r="AC24" s="20">
        <f t="shared" si="5"/>
        <v>31.009618951714465</v>
      </c>
      <c r="AD24" s="20">
        <f t="shared" si="6"/>
        <v>34.522736637453704</v>
      </c>
      <c r="AE24" s="20">
        <f t="shared" si="6"/>
        <v>38.358119808972141</v>
      </c>
      <c r="AF24" s="20">
        <f t="shared" si="6"/>
        <v>42.55170676665189</v>
      </c>
      <c r="AG24" s="20">
        <f t="shared" si="6"/>
        <v>47.143638415268072</v>
      </c>
      <c r="AH24" s="20">
        <f t="shared" si="6"/>
        <v>52.178870526398875</v>
      </c>
      <c r="AI24" s="20">
        <f t="shared" si="6"/>
        <v>57.707903495707626</v>
      </c>
      <c r="AJ24" s="20">
        <f t="shared" si="6"/>
        <v>63.78765698329395</v>
      </c>
      <c r="AK24" s="20">
        <f t="shared" si="6"/>
        <v>70.482524254856187</v>
      </c>
      <c r="AL24" s="20">
        <f t="shared" si="6"/>
        <v>77.865650816937574</v>
      </c>
      <c r="AM24" s="20">
        <f t="shared" si="6"/>
        <v>86.020494916866681</v>
      </c>
      <c r="AN24" s="20">
        <f t="shared" si="6"/>
        <v>95.04274486916286</v>
      </c>
      <c r="AO24" s="20">
        <f t="shared" si="6"/>
        <v>105.04269171164741</v>
      </c>
      <c r="AP24" s="20">
        <f t="shared" si="6"/>
        <v>116.14818790454321</v>
      </c>
      <c r="AQ24" s="20">
        <f t="shared" si="6"/>
        <v>128.50836736517564</v>
      </c>
      <c r="AR24" s="20">
        <f t="shared" si="6"/>
        <v>142.29836459487962</v>
      </c>
      <c r="BE24" s="4"/>
    </row>
    <row r="25" spans="1:57" x14ac:dyDescent="0.2">
      <c r="A25" s="2">
        <f t="shared" si="7"/>
        <v>1</v>
      </c>
      <c r="B25" s="2">
        <f t="shared" si="2"/>
        <v>274.14999999999998</v>
      </c>
      <c r="C25" s="2">
        <f t="shared" si="3"/>
        <v>657.07171798138165</v>
      </c>
      <c r="D25" s="20">
        <f t="shared" si="4"/>
        <v>0.40521838795080961</v>
      </c>
      <c r="E25" s="20">
        <f t="shared" si="4"/>
        <v>0.81096511761299817</v>
      </c>
      <c r="F25" s="20">
        <f t="shared" si="4"/>
        <v>1.2172412229736889</v>
      </c>
      <c r="G25" s="20">
        <f t="shared" si="4"/>
        <v>1.6240477407198417</v>
      </c>
      <c r="H25" s="20">
        <f t="shared" si="4"/>
        <v>2.0313857102470712</v>
      </c>
      <c r="I25" s="20">
        <f t="shared" si="4"/>
        <v>2.4392561736684981</v>
      </c>
      <c r="J25" s="20">
        <f t="shared" si="4"/>
        <v>2.8476601758236368</v>
      </c>
      <c r="K25" s="20">
        <f t="shared" si="4"/>
        <v>3.2565987642873182</v>
      </c>
      <c r="L25" s="20">
        <f t="shared" si="4"/>
        <v>3.6660729893786441</v>
      </c>
      <c r="M25" s="20">
        <f t="shared" si="4"/>
        <v>4.0760839041699821</v>
      </c>
      <c r="N25" s="20">
        <f t="shared" si="5"/>
        <v>6.5165309399347213E-2</v>
      </c>
      <c r="O25" s="20">
        <f t="shared" si="5"/>
        <v>1.3334909621761979</v>
      </c>
      <c r="P25" s="20">
        <f t="shared" si="5"/>
        <v>2.6805467648216501</v>
      </c>
      <c r="Q25" s="20">
        <f t="shared" si="5"/>
        <v>4.0760839041699821</v>
      </c>
      <c r="R25" s="20">
        <f t="shared" si="5"/>
        <v>5.5178040287098433</v>
      </c>
      <c r="S25" s="20">
        <f t="shared" si="5"/>
        <v>7.0474871712386093</v>
      </c>
      <c r="T25" s="20">
        <f t="shared" si="5"/>
        <v>8.6757010130927643</v>
      </c>
      <c r="U25" s="20">
        <f t="shared" si="5"/>
        <v>10.414126280830295</v>
      </c>
      <c r="V25" s="20">
        <f t="shared" si="5"/>
        <v>12.275668280639161</v>
      </c>
      <c r="W25" s="20">
        <f t="shared" si="5"/>
        <v>14.274581895628289</v>
      </c>
      <c r="X25" s="20">
        <f t="shared" si="5"/>
        <v>16.42661235228482</v>
      </c>
      <c r="Y25" s="20">
        <f t="shared" si="5"/>
        <v>18.749154537095272</v>
      </c>
      <c r="Z25" s="20">
        <f t="shared" si="5"/>
        <v>21.26143422376672</v>
      </c>
      <c r="AA25" s="20">
        <f t="shared" si="5"/>
        <v>23.984715281543224</v>
      </c>
      <c r="AB25" s="20">
        <f t="shared" si="5"/>
        <v>26.942537809142859</v>
      </c>
      <c r="AC25" s="20">
        <f t="shared" si="5"/>
        <v>30.160993220019154</v>
      </c>
      <c r="AD25" s="20">
        <f t="shared" si="6"/>
        <v>33.66904364928196</v>
      </c>
      <c r="AE25" s="20">
        <f t="shared" si="6"/>
        <v>37.498894734501548</v>
      </c>
      <c r="AF25" s="20">
        <f t="shared" si="6"/>
        <v>41.686432939315125</v>
      </c>
      <c r="AG25" s="20">
        <f t="shared" si="6"/>
        <v>46.271741269993434</v>
      </c>
      <c r="AH25" s="20">
        <f t="shared" si="6"/>
        <v>51.299710654734774</v>
      </c>
      <c r="AI25" s="20">
        <f t="shared" si="6"/>
        <v>56.820768648358559</v>
      </c>
      <c r="AJ25" s="20">
        <f t="shared" si="6"/>
        <v>62.891752811091294</v>
      </c>
      <c r="AK25" s="20">
        <f t="shared" si="6"/>
        <v>69.57696352896663</v>
      </c>
      <c r="AL25" s="20">
        <f t="shared" si="6"/>
        <v>76.94944080479155</v>
      </c>
      <c r="AM25" s="20">
        <f t="shared" si="6"/>
        <v>85.092522507250322</v>
      </c>
      <c r="AN25" s="20">
        <f t="shared" si="6"/>
        <v>94.101758931793526</v>
      </c>
      <c r="AO25" s="20">
        <f t="shared" si="6"/>
        <v>104.0872820344736</v>
      </c>
      <c r="AP25" s="20">
        <f t="shared" si="6"/>
        <v>115.17675986347116</v>
      </c>
      <c r="AQ25" s="20">
        <f t="shared" si="6"/>
        <v>127.51911122808619</v>
      </c>
      <c r="AR25" s="20">
        <f t="shared" si="6"/>
        <v>141.28921801886295</v>
      </c>
      <c r="BE25" s="4"/>
    </row>
    <row r="26" spans="1:57" x14ac:dyDescent="0.2">
      <c r="A26" s="2">
        <f t="shared" si="7"/>
        <v>3</v>
      </c>
      <c r="B26" s="2">
        <f t="shared" si="2"/>
        <v>276.14999999999998</v>
      </c>
      <c r="C26" s="2">
        <f t="shared" si="3"/>
        <v>758.03120520069513</v>
      </c>
      <c r="D26" s="20">
        <f t="shared" si="4"/>
        <v>0.46752725176795235</v>
      </c>
      <c r="E26" s="20">
        <f t="shared" si="4"/>
        <v>0.93575789000272536</v>
      </c>
      <c r="F26" s="20">
        <f t="shared" si="4"/>
        <v>1.4046935032480024</v>
      </c>
      <c r="G26" s="20">
        <f t="shared" si="4"/>
        <v>1.8743356848345409</v>
      </c>
      <c r="H26" s="20">
        <f t="shared" si="4"/>
        <v>2.3446860328982173</v>
      </c>
      <c r="I26" s="20">
        <f t="shared" si="4"/>
        <v>2.8157461503981556</v>
      </c>
      <c r="J26" s="20">
        <f t="shared" si="4"/>
        <v>3.2875176451349368</v>
      </c>
      <c r="K26" s="20">
        <f t="shared" si="4"/>
        <v>3.7600021297688917</v>
      </c>
      <c r="L26" s="20">
        <f t="shared" si="4"/>
        <v>4.2332012218384731</v>
      </c>
      <c r="M26" s="20">
        <f t="shared" si="4"/>
        <v>4.7071165437787199</v>
      </c>
      <c r="N26" s="20">
        <f t="shared" si="5"/>
        <v>-0.73766871719518379</v>
      </c>
      <c r="O26" s="20">
        <f t="shared" si="5"/>
        <v>0.52883016084303647</v>
      </c>
      <c r="P26" s="20">
        <f t="shared" si="5"/>
        <v>1.8739457933859516</v>
      </c>
      <c r="Q26" s="20">
        <f t="shared" si="5"/>
        <v>3.2674729347598666</v>
      </c>
      <c r="R26" s="20">
        <f t="shared" si="5"/>
        <v>4.707116543778719</v>
      </c>
      <c r="S26" s="20">
        <f t="shared" si="5"/>
        <v>6.234596477284029</v>
      </c>
      <c r="T26" s="20">
        <f t="shared" si="5"/>
        <v>7.8604651959366789</v>
      </c>
      <c r="U26" s="20">
        <f t="shared" si="5"/>
        <v>9.5963866024953823</v>
      </c>
      <c r="V26" s="20">
        <f t="shared" si="5"/>
        <v>11.455247415581654</v>
      </c>
      <c r="W26" s="20">
        <f t="shared" si="5"/>
        <v>13.451281986936703</v>
      </c>
      <c r="X26" s="20">
        <f t="shared" si="5"/>
        <v>15.600212865132155</v>
      </c>
      <c r="Y26" s="20">
        <f t="shared" si="5"/>
        <v>17.919409882726814</v>
      </c>
      <c r="Z26" s="20">
        <f t="shared" si="5"/>
        <v>20.428071122465539</v>
      </c>
      <c r="AA26" s="20">
        <f t="shared" si="5"/>
        <v>23.147429827152639</v>
      </c>
      <c r="AB26" s="20">
        <f t="shared" si="5"/>
        <v>26.100992190603627</v>
      </c>
      <c r="AC26" s="20">
        <f t="shared" si="5"/>
        <v>29.314812046700183</v>
      </c>
      <c r="AD26" s="20">
        <f t="shared" si="6"/>
        <v>32.817809816267903</v>
      </c>
      <c r="AE26" s="20">
        <f t="shared" si="6"/>
        <v>36.642144750962686</v>
      </c>
      <c r="AF26" s="20">
        <f t="shared" si="6"/>
        <v>40.823651626998156</v>
      </c>
      <c r="AG26" s="20">
        <f t="shared" si="6"/>
        <v>45.402355718923602</v>
      </c>
      <c r="AH26" s="20">
        <f t="shared" si="6"/>
        <v>50.423083298345823</v>
      </c>
      <c r="AI26" s="20">
        <f t="shared" si="6"/>
        <v>55.93618928906627</v>
      </c>
      <c r="AJ26" s="20">
        <f t="shared" si="6"/>
        <v>61.998429387935893</v>
      </c>
      <c r="AK26" s="20">
        <f t="shared" si="6"/>
        <v>68.674011368873593</v>
      </c>
      <c r="AL26" s="20">
        <f t="shared" si="6"/>
        <v>76.03587003486507</v>
      </c>
      <c r="AM26" s="20">
        <f t="shared" si="6"/>
        <v>84.167223222713972</v>
      </c>
      <c r="AN26" s="20">
        <f t="shared" si="6"/>
        <v>93.163483606381021</v>
      </c>
      <c r="AO26" s="20">
        <f t="shared" si="6"/>
        <v>103.13462451840205</v>
      </c>
      <c r="AP26" s="20">
        <f t="shared" si="6"/>
        <v>114.20813012613432</v>
      </c>
      <c r="AQ26" s="20">
        <f t="shared" si="6"/>
        <v>126.53270475049433</v>
      </c>
      <c r="AR26" s="20">
        <f t="shared" si="6"/>
        <v>140.28297839890851</v>
      </c>
      <c r="BE26" s="4"/>
    </row>
    <row r="27" spans="1:57" x14ac:dyDescent="0.2">
      <c r="A27" s="2">
        <f t="shared" si="7"/>
        <v>5</v>
      </c>
      <c r="B27" s="2">
        <f t="shared" si="2"/>
        <v>278.14999999999998</v>
      </c>
      <c r="C27" s="2">
        <f t="shared" si="3"/>
        <v>872.48665426402988</v>
      </c>
      <c r="D27" s="20">
        <f t="shared" si="4"/>
        <v>0.53818046850577861</v>
      </c>
      <c r="E27" s="20">
        <f t="shared" si="4"/>
        <v>1.0772930861124963</v>
      </c>
      <c r="F27" s="20">
        <f t="shared" si="4"/>
        <v>1.6173402766959766</v>
      </c>
      <c r="G27" s="20">
        <f t="shared" si="4"/>
        <v>2.1583244725431028</v>
      </c>
      <c r="H27" s="20">
        <f t="shared" si="4"/>
        <v>2.7002481143883315</v>
      </c>
      <c r="I27" s="20">
        <f t="shared" si="4"/>
        <v>3.2431136514504013</v>
      </c>
      <c r="J27" s="20">
        <f t="shared" si="4"/>
        <v>3.7869235414692271</v>
      </c>
      <c r="K27" s="20">
        <f t="shared" si="4"/>
        <v>4.3316802507429957</v>
      </c>
      <c r="L27" s="20">
        <f t="shared" si="4"/>
        <v>4.8773862541654411</v>
      </c>
      <c r="M27" s="20">
        <f t="shared" si="4"/>
        <v>5.424044035263333</v>
      </c>
      <c r="N27" s="20">
        <f t="shared" si="5"/>
        <v>-1.5381934195112665</v>
      </c>
      <c r="O27" s="20">
        <f t="shared" si="5"/>
        <v>-0.27351606155739527</v>
      </c>
      <c r="P27" s="20">
        <f t="shared" si="5"/>
        <v>1.0696649817151023</v>
      </c>
      <c r="Q27" s="20">
        <f t="shared" si="5"/>
        <v>2.461187906804176</v>
      </c>
      <c r="R27" s="20">
        <f t="shared" si="5"/>
        <v>3.8987609733270139</v>
      </c>
      <c r="S27" s="20">
        <f t="shared" si="5"/>
        <v>5.424044035263333</v>
      </c>
      <c r="T27" s="20">
        <f t="shared" si="5"/>
        <v>7.047574376380167</v>
      </c>
      <c r="U27" s="20">
        <f t="shared" si="5"/>
        <v>8.7809991240300249</v>
      </c>
      <c r="V27" s="20">
        <f t="shared" si="5"/>
        <v>10.637186462734471</v>
      </c>
      <c r="W27" s="20">
        <f t="shared" si="5"/>
        <v>12.630350271924764</v>
      </c>
      <c r="X27" s="20">
        <f t="shared" si="5"/>
        <v>14.776190487489252</v>
      </c>
      <c r="Y27" s="20">
        <f t="shared" si="5"/>
        <v>17.092051960125787</v>
      </c>
      <c r="Z27" s="20">
        <f t="shared" si="5"/>
        <v>19.597105161269095</v>
      </c>
      <c r="AA27" s="20">
        <f t="shared" si="5"/>
        <v>22.312552795379638</v>
      </c>
      <c r="AB27" s="20">
        <f t="shared" si="5"/>
        <v>25.261867248896639</v>
      </c>
      <c r="AC27" s="20">
        <f t="shared" si="5"/>
        <v>28.471064884226266</v>
      </c>
      <c r="AD27" s="20">
        <f t="shared" si="6"/>
        <v>31.96902452789957</v>
      </c>
      <c r="AE27" s="20">
        <f t="shared" si="6"/>
        <v>35.787859179085522</v>
      </c>
      <c r="AF27" s="20">
        <f t="shared" si="6"/>
        <v>39.963352075251272</v>
      </c>
      <c r="AG27" s="20">
        <f t="shared" si="6"/>
        <v>44.535470925287953</v>
      </c>
      <c r="AH27" s="20">
        <f t="shared" si="6"/>
        <v>49.548977530193305</v>
      </c>
      <c r="AI27" s="20">
        <f t="shared" si="6"/>
        <v>55.05415439167141</v>
      </c>
      <c r="AJ27" s="20">
        <f t="shared" si="6"/>
        <v>61.107675578674851</v>
      </c>
      <c r="AK27" s="20">
        <f t="shared" si="6"/>
        <v>67.773656519403318</v>
      </c>
      <c r="AL27" s="20">
        <f t="shared" si="6"/>
        <v>75.124927119624829</v>
      </c>
      <c r="AM27" s="20">
        <f t="shared" si="6"/>
        <v>83.244585529530028</v>
      </c>
      <c r="AN27" s="20">
        <f t="shared" si="6"/>
        <v>92.227907197453206</v>
      </c>
      <c r="AO27" s="20">
        <f t="shared" si="6"/>
        <v>102.18470728868863</v>
      </c>
      <c r="AP27" s="20">
        <f t="shared" si="6"/>
        <v>113.24228661869699</v>
      </c>
      <c r="AQ27" s="20">
        <f t="shared" si="6"/>
        <v>125.5491356369798</v>
      </c>
      <c r="AR27" s="20">
        <f t="shared" si="6"/>
        <v>139.27963319237867</v>
      </c>
      <c r="BE27" s="4"/>
    </row>
    <row r="28" spans="1:57" x14ac:dyDescent="0.2">
      <c r="A28" s="2">
        <f t="shared" si="7"/>
        <v>7</v>
      </c>
      <c r="B28" s="2">
        <f t="shared" si="2"/>
        <v>280.14999999999998</v>
      </c>
      <c r="C28" s="2">
        <f t="shared" si="3"/>
        <v>1001.9596471468182</v>
      </c>
      <c r="D28" s="20">
        <f t="shared" si="4"/>
        <v>0.61812333457138979</v>
      </c>
      <c r="E28" s="20">
        <f t="shared" si="4"/>
        <v>1.2374764724863387</v>
      </c>
      <c r="F28" s="20">
        <f t="shared" si="4"/>
        <v>1.8580630875803359</v>
      </c>
      <c r="G28" s="20">
        <f t="shared" si="4"/>
        <v>2.4798868683367643</v>
      </c>
      <c r="H28" s="20">
        <f t="shared" si="4"/>
        <v>3.1029515179599731</v>
      </c>
      <c r="I28" s="20">
        <f t="shared" si="4"/>
        <v>3.727260754448797</v>
      </c>
      <c r="J28" s="20">
        <f t="shared" si="4"/>
        <v>4.3528183106705063</v>
      </c>
      <c r="K28" s="20">
        <f t="shared" si="4"/>
        <v>4.9796279344352063</v>
      </c>
      <c r="L28" s="20">
        <f t="shared" si="4"/>
        <v>5.6076933885706861</v>
      </c>
      <c r="M28" s="20">
        <f t="shared" si="4"/>
        <v>6.2370184509977111</v>
      </c>
      <c r="N28" s="20">
        <f t="shared" si="5"/>
        <v>-2.336418747275864</v>
      </c>
      <c r="O28" s="20">
        <f t="shared" si="5"/>
        <v>-1.0735576773917457</v>
      </c>
      <c r="P28" s="20">
        <f t="shared" si="5"/>
        <v>0.26769433339743037</v>
      </c>
      <c r="Q28" s="20">
        <f t="shared" si="5"/>
        <v>1.6572187989808194</v>
      </c>
      <c r="R28" s="20">
        <f t="shared" si="5"/>
        <v>3.0927272702978512</v>
      </c>
      <c r="S28" s="20">
        <f t="shared" si="5"/>
        <v>4.6158197708147153</v>
      </c>
      <c r="T28" s="20">
        <f t="shared" si="5"/>
        <v>6.2370184509977102</v>
      </c>
      <c r="U28" s="20">
        <f t="shared" si="5"/>
        <v>7.9679537109777128</v>
      </c>
      <c r="V28" s="20">
        <f t="shared" si="5"/>
        <v>9.8214752544124693</v>
      </c>
      <c r="W28" s="20">
        <f t="shared" si="5"/>
        <v>11.811776547226609</v>
      </c>
      <c r="X28" s="20">
        <f t="shared" si="5"/>
        <v>13.954534977576381</v>
      </c>
      <c r="Y28" s="20">
        <f t="shared" si="5"/>
        <v>16.267070486054948</v>
      </c>
      <c r="Z28" s="20">
        <f t="shared" si="5"/>
        <v>18.768526012095816</v>
      </c>
      <c r="AA28" s="20">
        <f t="shared" si="5"/>
        <v>21.480073809531923</v>
      </c>
      <c r="AB28" s="20">
        <f t="shared" si="5"/>
        <v>24.425152554532293</v>
      </c>
      <c r="AC28" s="20">
        <f t="shared" si="5"/>
        <v>27.629741245658192</v>
      </c>
      <c r="AD28" s="20">
        <f t="shared" si="6"/>
        <v>31.122677234618834</v>
      </c>
      <c r="AE28" s="20">
        <f t="shared" si="6"/>
        <v>34.936027400948873</v>
      </c>
      <c r="AF28" s="20">
        <f t="shared" si="6"/>
        <v>39.1055235914055</v>
      </c>
      <c r="AG28" s="20">
        <f t="shared" si="6"/>
        <v>43.671076114569495</v>
      </c>
      <c r="AH28" s="20">
        <f t="shared" si="6"/>
        <v>48.677382486010671</v>
      </c>
      <c r="AI28" s="20">
        <f t="shared" si="6"/>
        <v>54.174652993356247</v>
      </c>
      <c r="AJ28" s="20">
        <f t="shared" si="6"/>
        <v>60.219480312123011</v>
      </c>
      <c r="AK28" s="20">
        <f t="shared" si="6"/>
        <v>66.875887790039243</v>
      </c>
      <c r="AL28" s="20">
        <f t="shared" si="6"/>
        <v>74.216600736955172</v>
      </c>
      <c r="AM28" s="20">
        <f t="shared" si="6"/>
        <v>82.32459796022836</v>
      </c>
      <c r="AN28" s="20">
        <f t="shared" si="6"/>
        <v>91.295018076724531</v>
      </c>
      <c r="AO28" s="20">
        <f t="shared" si="6"/>
        <v>101.2375185388056</v>
      </c>
      <c r="AP28" s="20">
        <f t="shared" si="6"/>
        <v>112.27921733668367</v>
      </c>
      <c r="AQ28" s="20">
        <f t="shared" si="6"/>
        <v>124.56839166275542</v>
      </c>
      <c r="AR28" s="20">
        <f t="shared" si="6"/>
        <v>138.27916992868902</v>
      </c>
      <c r="BE28" s="4"/>
    </row>
    <row r="29" spans="1:57" x14ac:dyDescent="0.2">
      <c r="A29" s="2">
        <f t="shared" si="7"/>
        <v>9</v>
      </c>
      <c r="B29" s="2">
        <f t="shared" si="2"/>
        <v>282.14999999999998</v>
      </c>
      <c r="C29" s="2">
        <f t="shared" si="3"/>
        <v>1148.1089552953367</v>
      </c>
      <c r="D29" s="20">
        <f t="shared" si="4"/>
        <v>0.70838763450124986</v>
      </c>
      <c r="E29" s="20">
        <f t="shared" si="4"/>
        <v>1.4183907075022681</v>
      </c>
      <c r="F29" s="20">
        <f t="shared" si="4"/>
        <v>2.1300147511871033</v>
      </c>
      <c r="G29" s="20">
        <f t="shared" si="4"/>
        <v>2.843265323029148</v>
      </c>
      <c r="H29" s="20">
        <f t="shared" si="4"/>
        <v>3.5581480059358137</v>
      </c>
      <c r="I29" s="20">
        <f t="shared" si="4"/>
        <v>4.2746684083941959</v>
      </c>
      <c r="J29" s="20">
        <f t="shared" si="4"/>
        <v>4.9928321646177407</v>
      </c>
      <c r="K29" s="20">
        <f t="shared" si="4"/>
        <v>5.712644934693933</v>
      </c>
      <c r="L29" s="20">
        <f t="shared" si="4"/>
        <v>6.4341124047329785</v>
      </c>
      <c r="M29" s="20">
        <f t="shared" si="4"/>
        <v>7.1572402870175393</v>
      </c>
      <c r="N29" s="20">
        <f t="shared" si="5"/>
        <v>-3.1323545931400272</v>
      </c>
      <c r="O29" s="20">
        <f t="shared" si="5"/>
        <v>-1.8713046018208801</v>
      </c>
      <c r="P29" s="20">
        <f t="shared" si="5"/>
        <v>-0.53197609063501983</v>
      </c>
      <c r="Q29" s="20">
        <f t="shared" si="5"/>
        <v>0.85555564745432078</v>
      </c>
      <c r="R29" s="20">
        <f t="shared" si="5"/>
        <v>2.2890054452685931</v>
      </c>
      <c r="S29" s="20">
        <f t="shared" si="5"/>
        <v>3.8099136673672405</v>
      </c>
      <c r="T29" s="20">
        <f t="shared" si="5"/>
        <v>5.4287873743213844</v>
      </c>
      <c r="U29" s="20">
        <f t="shared" si="5"/>
        <v>7.1572402870175393</v>
      </c>
      <c r="V29" s="20">
        <f t="shared" si="5"/>
        <v>9.0081036812567277</v>
      </c>
      <c r="W29" s="20">
        <f t="shared" si="5"/>
        <v>10.995550668007269</v>
      </c>
      <c r="X29" s="20">
        <f t="shared" si="5"/>
        <v>13.135236152365071</v>
      </c>
      <c r="Y29" s="20">
        <f t="shared" si="5"/>
        <v>15.44445523626613</v>
      </c>
      <c r="Z29" s="20">
        <f t="shared" si="5"/>
        <v>17.942323406110436</v>
      </c>
      <c r="AA29" s="20">
        <f t="shared" si="5"/>
        <v>20.649982552442363</v>
      </c>
      <c r="AB29" s="20">
        <f t="shared" si="5"/>
        <v>23.590837737849032</v>
      </c>
      <c r="AC29" s="20">
        <f t="shared" si="5"/>
        <v>26.790830704214343</v>
      </c>
      <c r="AD29" s="20">
        <f t="shared" si="6"/>
        <v>30.278757447384393</v>
      </c>
      <c r="AE29" s="20">
        <f t="shared" si="6"/>
        <v>34.086638859540543</v>
      </c>
      <c r="AF29" s="20">
        <f t="shared" si="6"/>
        <v>38.250155544129626</v>
      </c>
      <c r="AG29" s="20">
        <f t="shared" si="6"/>
        <v>42.809160574058509</v>
      </c>
      <c r="AH29" s="20">
        <f t="shared" si="6"/>
        <v>47.808287363853523</v>
      </c>
      <c r="AI29" s="20">
        <f t="shared" si="6"/>
        <v>53.297674194190492</v>
      </c>
      <c r="AJ29" s="20">
        <f t="shared" si="6"/>
        <v>59.33383258060433</v>
      </c>
      <c r="AK29" s="20">
        <f t="shared" si="6"/>
        <v>65.980694054458468</v>
      </c>
      <c r="AL29" s="20">
        <f t="shared" si="6"/>
        <v>73.310879629688941</v>
      </c>
      <c r="AM29" s="20">
        <f t="shared" si="6"/>
        <v>81.407249113121139</v>
      </c>
      <c r="AN29" s="20">
        <f t="shared" si="6"/>
        <v>90.36480468261432</v>
      </c>
      <c r="AO29" s="20">
        <f t="shared" si="6"/>
        <v>100.29304652995265</v>
      </c>
      <c r="AP29" s="20">
        <f t="shared" si="6"/>
        <v>111.31891034448172</v>
      </c>
      <c r="AQ29" s="20">
        <f t="shared" si="6"/>
        <v>123.59046067316063</v>
      </c>
      <c r="AR29" s="20">
        <f t="shared" si="6"/>
        <v>137.28157620879185</v>
      </c>
      <c r="BE29" s="4"/>
    </row>
    <row r="30" spans="1:57" x14ac:dyDescent="0.2">
      <c r="A30" s="2">
        <f t="shared" si="7"/>
        <v>11</v>
      </c>
      <c r="B30" s="2">
        <f t="shared" si="2"/>
        <v>284.14999999999998</v>
      </c>
      <c r="C30" s="2">
        <f t="shared" si="3"/>
        <v>1312.7393763438904</v>
      </c>
      <c r="D30" s="20">
        <f t="shared" si="4"/>
        <v>0.8100975362149252</v>
      </c>
      <c r="E30" s="20">
        <f t="shared" si="4"/>
        <v>1.6223080467242537</v>
      </c>
      <c r="F30" s="20">
        <f t="shared" si="4"/>
        <v>2.4366398092174313</v>
      </c>
      <c r="G30" s="20">
        <f t="shared" si="4"/>
        <v>3.2531011446781597</v>
      </c>
      <c r="H30" s="20">
        <f t="shared" si="4"/>
        <v>4.0717004176678149</v>
      </c>
      <c r="I30" s="20">
        <f t="shared" si="4"/>
        <v>4.8924460366110978</v>
      </c>
      <c r="J30" s="20">
        <f t="shared" si="4"/>
        <v>5.7153464540839289</v>
      </c>
      <c r="K30" s="20">
        <f t="shared" si="4"/>
        <v>6.5404101671036257</v>
      </c>
      <c r="L30" s="20">
        <f t="shared" si="4"/>
        <v>7.3676457174213521</v>
      </c>
      <c r="M30" s="20">
        <f t="shared" si="4"/>
        <v>8.1970616918169004</v>
      </c>
      <c r="N30" s="20">
        <f t="shared" si="5"/>
        <v>-3.9260107930875705</v>
      </c>
      <c r="O30" s="20">
        <f t="shared" si="5"/>
        <v>-2.6667666932094871</v>
      </c>
      <c r="P30" s="20">
        <f t="shared" si="5"/>
        <v>-1.3293561725170828</v>
      </c>
      <c r="Q30" s="20">
        <f t="shared" si="5"/>
        <v>5.6188545464198124E-2</v>
      </c>
      <c r="R30" s="20">
        <f t="shared" si="5"/>
        <v>1.4875855660381649</v>
      </c>
      <c r="S30" s="20">
        <f t="shared" si="5"/>
        <v>3.0063157657270443</v>
      </c>
      <c r="T30" s="20">
        <f t="shared" si="5"/>
        <v>4.6228711584258644</v>
      </c>
      <c r="U30" s="20">
        <f t="shared" si="5"/>
        <v>6.3488488335479278</v>
      </c>
      <c r="V30" s="20">
        <f t="shared" si="5"/>
        <v>8.1970616918168986</v>
      </c>
      <c r="W30" s="20">
        <f t="shared" si="5"/>
        <v>10.181662547543574</v>
      </c>
      <c r="X30" s="20">
        <f t="shared" si="5"/>
        <v>12.318283887157417</v>
      </c>
      <c r="Y30" s="20">
        <f t="shared" si="5"/>
        <v>14.624196045077852</v>
      </c>
      <c r="Z30" s="20">
        <f t="shared" si="5"/>
        <v>17.118487133299798</v>
      </c>
      <c r="AA30" s="20">
        <f t="shared" si="5"/>
        <v>19.822268766042779</v>
      </c>
      <c r="AB30" s="20">
        <f t="shared" si="5"/>
        <v>22.75891248858494</v>
      </c>
      <c r="AC30" s="20">
        <f t="shared" si="5"/>
        <v>25.954322892839944</v>
      </c>
      <c r="AD30" s="20">
        <f t="shared" si="6"/>
        <v>29.437254737238405</v>
      </c>
      <c r="AE30" s="20">
        <f t="shared" si="6"/>
        <v>33.239683058321141</v>
      </c>
      <c r="AF30" s="20">
        <f t="shared" si="6"/>
        <v>37.397237362990964</v>
      </c>
      <c r="AG30" s="20">
        <f t="shared" si="6"/>
        <v>41.949713652409955</v>
      </c>
      <c r="AH30" s="20">
        <f t="shared" si="6"/>
        <v>46.941681423653257</v>
      </c>
      <c r="AI30" s="20">
        <f t="shared" si="6"/>
        <v>52.423207156680981</v>
      </c>
      <c r="AJ30" s="20">
        <f t="shared" si="6"/>
        <v>58.450721439497052</v>
      </c>
      <c r="AK30" s="20">
        <f t="shared" si="6"/>
        <v>65.088064250072023</v>
      </c>
      <c r="AL30" s="20">
        <f t="shared" si="6"/>
        <v>72.407752605142434</v>
      </c>
      <c r="AM30" s="20">
        <f t="shared" si="6"/>
        <v>80.492527651831864</v>
      </c>
      <c r="AN30" s="20">
        <f t="shared" si="6"/>
        <v>89.437255519769082</v>
      </c>
      <c r="AO30" s="20">
        <f t="shared" si="6"/>
        <v>99.351279590571707</v>
      </c>
      <c r="AP30" s="20">
        <f t="shared" si="6"/>
        <v>110.36135377484817</v>
      </c>
      <c r="AQ30" s="20">
        <f t="shared" si="6"/>
        <v>122.61533058315938</v>
      </c>
      <c r="AR30" s="20">
        <f t="shared" si="6"/>
        <v>136.28683970466381</v>
      </c>
      <c r="BE30" s="4"/>
    </row>
    <row r="31" spans="1:57" x14ac:dyDescent="0.2">
      <c r="A31" s="2">
        <f t="shared" si="7"/>
        <v>13</v>
      </c>
      <c r="B31" s="2">
        <f t="shared" si="2"/>
        <v>286.14999999999998</v>
      </c>
      <c r="C31" s="2">
        <f t="shared" si="3"/>
        <v>1497.8108432903609</v>
      </c>
      <c r="D31" s="20">
        <f t="shared" si="4"/>
        <v>0.92447574677527589</v>
      </c>
      <c r="E31" s="20">
        <f t="shared" si="4"/>
        <v>1.8517037608535545</v>
      </c>
      <c r="F31" s="20">
        <f t="shared" si="4"/>
        <v>2.7816963512671431</v>
      </c>
      <c r="G31" s="20">
        <f t="shared" si="4"/>
        <v>3.7144659005579168</v>
      </c>
      <c r="H31" s="20">
        <f t="shared" si="4"/>
        <v>4.6500248653268867</v>
      </c>
      <c r="I31" s="20">
        <f t="shared" si="4"/>
        <v>5.5883857767887095</v>
      </c>
      <c r="J31" s="20">
        <f t="shared" si="4"/>
        <v>6.5295612413311837</v>
      </c>
      <c r="K31" s="20">
        <f t="shared" si="4"/>
        <v>7.4735639410797878</v>
      </c>
      <c r="L31" s="20">
        <f t="shared" si="4"/>
        <v>8.4204066344673141</v>
      </c>
      <c r="M31" s="20">
        <f t="shared" si="4"/>
        <v>9.3701021568086542</v>
      </c>
      <c r="N31" s="20">
        <f t="shared" si="5"/>
        <v>-4.7173971268402468</v>
      </c>
      <c r="O31" s="20">
        <f t="shared" si="5"/>
        <v>-3.4599537535321749</v>
      </c>
      <c r="P31" s="20">
        <f t="shared" si="5"/>
        <v>-2.1244557378575459</v>
      </c>
      <c r="Q31" s="20">
        <f t="shared" si="5"/>
        <v>-0.74089235708312351</v>
      </c>
      <c r="R31" s="20">
        <f t="shared" si="5"/>
        <v>0.68845775721792146</v>
      </c>
      <c r="S31" s="20">
        <f t="shared" si="5"/>
        <v>2.2050161636670937</v>
      </c>
      <c r="T31" s="20">
        <f t="shared" si="5"/>
        <v>3.8192598725170011</v>
      </c>
      <c r="U31" s="20">
        <f t="shared" si="5"/>
        <v>5.5427693892739516</v>
      </c>
      <c r="V31" s="20">
        <f t="shared" si="5"/>
        <v>7.3883392921371822</v>
      </c>
      <c r="W31" s="20">
        <f t="shared" si="5"/>
        <v>9.3701021568086542</v>
      </c>
      <c r="X31" s="20">
        <f t="shared" si="5"/>
        <v>11.503668115169042</v>
      </c>
      <c r="Y31" s="20">
        <f t="shared" si="5"/>
        <v>13.806282804956586</v>
      </c>
      <c r="Z31" s="20">
        <f t="shared" si="5"/>
        <v>16.297007042052261</v>
      </c>
      <c r="AA31" s="20">
        <f t="shared" si="5"/>
        <v>18.996922250941395</v>
      </c>
      <c r="AB31" s="20">
        <f t="shared" si="5"/>
        <v>21.929366555453051</v>
      </c>
      <c r="AC31" s="20">
        <f t="shared" si="5"/>
        <v>25.120207503780019</v>
      </c>
      <c r="AD31" s="20">
        <f t="shared" si="6"/>
        <v>28.598158734876943</v>
      </c>
      <c r="AE31" s="20">
        <f t="shared" si="6"/>
        <v>32.395149560791744</v>
      </c>
      <c r="AF31" s="20">
        <f t="shared" si="6"/>
        <v>36.546758538019965</v>
      </c>
      <c r="AG31" s="20">
        <f t="shared" si="6"/>
        <v>41.092724759204778</v>
      </c>
      <c r="AH31" s="20">
        <f t="shared" si="6"/>
        <v>46.077553986774795</v>
      </c>
      <c r="AI31" s="20">
        <f t="shared" si="6"/>
        <v>51.551241105325296</v>
      </c>
      <c r="AJ31" s="20">
        <f t="shared" si="6"/>
        <v>57.570136006782953</v>
      </c>
      <c r="AK31" s="20">
        <f t="shared" si="6"/>
        <v>64.197987377569234</v>
      </c>
      <c r="AL31" s="20">
        <f t="shared" si="6"/>
        <v>71.507208534654396</v>
      </c>
      <c r="AM31" s="20">
        <f t="shared" si="6"/>
        <v>79.580422304828389</v>
      </c>
      <c r="AN31" s="20">
        <f t="shared" si="6"/>
        <v>88.512359158589035</v>
      </c>
      <c r="AO31" s="20">
        <f t="shared" si="6"/>
        <v>98.412206115866383</v>
      </c>
      <c r="AP31" s="20">
        <f t="shared" si="6"/>
        <v>109.40653582842101</v>
      </c>
      <c r="AQ31" s="20">
        <f t="shared" si="6"/>
        <v>121.64298937684231</v>
      </c>
      <c r="AR31" s="20">
        <f t="shared" si="6"/>
        <v>135.29494815879809</v>
      </c>
      <c r="BE31" s="4"/>
    </row>
    <row r="32" spans="1:57" x14ac:dyDescent="0.2">
      <c r="A32" s="2">
        <f t="shared" si="7"/>
        <v>15</v>
      </c>
      <c r="B32" s="2">
        <f t="shared" si="2"/>
        <v>288.14999999999998</v>
      </c>
      <c r="C32" s="2">
        <f t="shared" si="3"/>
        <v>1705.4477944415173</v>
      </c>
      <c r="D32" s="20">
        <f t="shared" si="4"/>
        <v>1.0528499381107626</v>
      </c>
      <c r="E32" s="20">
        <f t="shared" si="4"/>
        <v>2.1092703208125512</v>
      </c>
      <c r="F32" s="20">
        <f t="shared" si="4"/>
        <v>3.1692793411924121</v>
      </c>
      <c r="G32" s="20">
        <f t="shared" si="4"/>
        <v>4.2328953161507519</v>
      </c>
      <c r="H32" s="20">
        <f t="shared" si="4"/>
        <v>5.3001366874563951</v>
      </c>
      <c r="I32" s="20">
        <f t="shared" si="4"/>
        <v>6.3710220228124612</v>
      </c>
      <c r="J32" s="20">
        <f t="shared" si="4"/>
        <v>7.4455700169331624</v>
      </c>
      <c r="K32" s="20">
        <f t="shared" si="4"/>
        <v>8.5237994926316887</v>
      </c>
      <c r="L32" s="20">
        <f t="shared" si="4"/>
        <v>9.6057294019192643</v>
      </c>
      <c r="M32" s="20">
        <f t="shared" si="4"/>
        <v>10.691378827115578</v>
      </c>
      <c r="N32" s="20">
        <f t="shared" si="5"/>
        <v>-5.506523318259454</v>
      </c>
      <c r="O32" s="20">
        <f t="shared" si="5"/>
        <v>-4.2508755287760858</v>
      </c>
      <c r="P32" s="20">
        <f t="shared" si="5"/>
        <v>-2.9172845561427372</v>
      </c>
      <c r="Q32" s="20">
        <f t="shared" si="5"/>
        <v>-1.5356968540189069</v>
      </c>
      <c r="R32" s="20">
        <f t="shared" si="5"/>
        <v>-0.10838780017399029</v>
      </c>
      <c r="S32" s="20">
        <f t="shared" si="5"/>
        <v>1.4060050155204451</v>
      </c>
      <c r="T32" s="20">
        <f t="shared" si="5"/>
        <v>3.0179436425239095</v>
      </c>
      <c r="U32" s="20">
        <f t="shared" si="5"/>
        <v>4.7389920497981537</v>
      </c>
      <c r="V32" s="20">
        <f t="shared" si="5"/>
        <v>6.5819265453458042</v>
      </c>
      <c r="W32" s="20">
        <f t="shared" si="5"/>
        <v>8.5608595240599907</v>
      </c>
      <c r="X32" s="20">
        <f t="shared" si="5"/>
        <v>10.691378827115578</v>
      </c>
      <c r="Y32" s="20">
        <f t="shared" si="5"/>
        <v>12.990705466101574</v>
      </c>
      <c r="Z32" s="20">
        <f t="shared" si="5"/>
        <v>15.477873038740729</v>
      </c>
      <c r="AA32" s="20">
        <f t="shared" si="5"/>
        <v>18.173932866003888</v>
      </c>
      <c r="AB32" s="20">
        <f t="shared" si="5"/>
        <v>21.102189745720278</v>
      </c>
      <c r="AC32" s="20">
        <f t="shared" si="5"/>
        <v>24.288474288156021</v>
      </c>
      <c r="AD32" s="20">
        <f t="shared" si="6"/>
        <v>27.761459130224036</v>
      </c>
      <c r="AE32" s="20">
        <f t="shared" si="6"/>
        <v>31.553027990065225</v>
      </c>
      <c r="AF32" s="20">
        <f t="shared" si="6"/>
        <v>35.698708619278534</v>
      </c>
      <c r="AG32" s="20">
        <f t="shared" si="6"/>
        <v>40.23818336451486</v>
      </c>
      <c r="AH32" s="20">
        <f t="shared" si="6"/>
        <v>45.215894435577837</v>
      </c>
      <c r="AI32" s="20">
        <f t="shared" si="6"/>
        <v>50.681765326169135</v>
      </c>
      <c r="AJ32" s="20">
        <f t="shared" si="6"/>
        <v>56.69206546260034</v>
      </c>
      <c r="AK32" s="20">
        <f t="shared" si="6"/>
        <v>63.3104525004659</v>
      </c>
      <c r="AL32" s="20">
        <f t="shared" si="6"/>
        <v>70.609236353128892</v>
      </c>
      <c r="AM32" s="20">
        <f t="shared" si="6"/>
        <v>78.670921864959951</v>
      </c>
      <c r="AN32" s="20">
        <f t="shared" si="6"/>
        <v>87.59010423475867</v>
      </c>
      <c r="AO32" s="20">
        <f t="shared" si="6"/>
        <v>97.475814567325202</v>
      </c>
      <c r="AP32" s="20">
        <f t="shared" si="6"/>
        <v>108.45444477323454</v>
      </c>
      <c r="AQ32" s="20">
        <f t="shared" si="6"/>
        <v>120.67342510693324</v>
      </c>
      <c r="AR32" s="20">
        <f t="shared" si="6"/>
        <v>134.30588938370116</v>
      </c>
      <c r="BE32" s="4"/>
    </row>
    <row r="33" spans="1:57" x14ac:dyDescent="0.2">
      <c r="A33" s="2">
        <f t="shared" si="7"/>
        <v>17</v>
      </c>
      <c r="B33" s="2">
        <f t="shared" si="2"/>
        <v>290.14999999999998</v>
      </c>
      <c r="C33" s="2">
        <f t="shared" si="3"/>
        <v>1937.9487912558297</v>
      </c>
      <c r="D33" s="20">
        <f t="shared" si="4"/>
        <v>1.1966594539781827</v>
      </c>
      <c r="E33" s="20">
        <f t="shared" si="4"/>
        <v>2.3979324140067559</v>
      </c>
      <c r="F33" s="20">
        <f t="shared" si="4"/>
        <v>3.6038456114332442</v>
      </c>
      <c r="G33" s="20">
        <f t="shared" si="4"/>
        <v>4.8144259845187278</v>
      </c>
      <c r="H33" s="20">
        <f t="shared" si="4"/>
        <v>6.0297006804437405</v>
      </c>
      <c r="I33" s="20">
        <f t="shared" si="4"/>
        <v>7.249697057337543</v>
      </c>
      <c r="J33" s="20">
        <f t="shared" si="4"/>
        <v>8.4744426863310984</v>
      </c>
      <c r="K33" s="20">
        <f t="shared" si="4"/>
        <v>9.7039653536340751</v>
      </c>
      <c r="L33" s="20">
        <f t="shared" si="4"/>
        <v>10.938293062636181</v>
      </c>
      <c r="M33" s="20">
        <f t="shared" si="4"/>
        <v>12.177454036033211</v>
      </c>
      <c r="N33" s="20">
        <f t="shared" si="5"/>
        <v>-6.2933990357444811</v>
      </c>
      <c r="O33" s="20">
        <f t="shared" si="5"/>
        <v>-5.0395417093400647</v>
      </c>
      <c r="P33" s="20">
        <f t="shared" si="5"/>
        <v>-3.707852341136654</v>
      </c>
      <c r="Q33" s="20">
        <f t="shared" si="5"/>
        <v>-2.3282346833132279</v>
      </c>
      <c r="R33" s="20">
        <f t="shared" si="5"/>
        <v>-0.90296086911478368</v>
      </c>
      <c r="S33" s="20">
        <f t="shared" si="5"/>
        <v>0.60927253177699781</v>
      </c>
      <c r="T33" s="20">
        <f t="shared" si="5"/>
        <v>2.2189126506945498</v>
      </c>
      <c r="U33" s="20">
        <f t="shared" si="5"/>
        <v>3.9375069672149041</v>
      </c>
      <c r="V33" s="20">
        <f t="shared" si="5"/>
        <v>5.7778135712480392</v>
      </c>
      <c r="W33" s="20">
        <f t="shared" si="5"/>
        <v>7.7539247344310063</v>
      </c>
      <c r="X33" s="20">
        <f t="shared" si="5"/>
        <v>9.8814060708027327</v>
      </c>
      <c r="Y33" s="20">
        <f t="shared" si="5"/>
        <v>12.177454036033209</v>
      </c>
      <c r="Z33" s="20">
        <f t="shared" si="5"/>
        <v>14.66107508730923</v>
      </c>
      <c r="AA33" s="20">
        <f t="shared" si="5"/>
        <v>17.353290527938022</v>
      </c>
      <c r="AB33" s="20">
        <f t="shared" si="5"/>
        <v>20.277371924789929</v>
      </c>
      <c r="AC33" s="20">
        <f t="shared" si="5"/>
        <v>23.45911305554602</v>
      </c>
      <c r="AD33" s="20">
        <f t="shared" si="6"/>
        <v>26.927145672009402</v>
      </c>
      <c r="AE33" s="20">
        <f t="shared" si="6"/>
        <v>30.71330802844119</v>
      </c>
      <c r="AF33" s="20">
        <f t="shared" si="6"/>
        <v>34.853077216431977</v>
      </c>
      <c r="AG33" s="20">
        <f t="shared" si="6"/>
        <v>39.386078998471731</v>
      </c>
      <c r="AH33" s="20">
        <f t="shared" si="6"/>
        <v>44.35669221298204</v>
      </c>
      <c r="AI33" s="20">
        <f t="shared" si="6"/>
        <v>49.814769166367476</v>
      </c>
      <c r="AJ33" s="20">
        <f t="shared" si="6"/>
        <v>55.816499048800836</v>
      </c>
      <c r="AK33" s="20">
        <f t="shared" si="6"/>
        <v>62.42544874465635</v>
      </c>
      <c r="AL33" s="20">
        <f t="shared" si="6"/>
        <v>69.71382505858206</v>
      </c>
      <c r="AM33" s="20">
        <f t="shared" si="6"/>
        <v>77.764015188998087</v>
      </c>
      <c r="AN33" s="20">
        <f t="shared" si="6"/>
        <v>86.670479448781151</v>
      </c>
      <c r="AO33" s="20">
        <f t="shared" si="6"/>
        <v>96.542093472248979</v>
      </c>
      <c r="AP33" s="20">
        <f t="shared" si="6"/>
        <v>107.50506894423867</v>
      </c>
      <c r="AQ33" s="20">
        <f t="shared" si="6"/>
        <v>119.70662589429975</v>
      </c>
      <c r="AR33" s="20">
        <f t="shared" si="6"/>
        <v>133.3196512613932</v>
      </c>
      <c r="BE33" s="4"/>
    </row>
    <row r="34" spans="1:57" x14ac:dyDescent="0.2">
      <c r="A34" s="2">
        <f t="shared" si="7"/>
        <v>19</v>
      </c>
      <c r="B34" s="2">
        <f t="shared" si="2"/>
        <v>292.14999999999998</v>
      </c>
      <c r="C34" s="2">
        <f t="shared" si="3"/>
        <v>2197.7963700849855</v>
      </c>
      <c r="D34" s="20">
        <f t="shared" si="4"/>
        <v>1.3574623116254656</v>
      </c>
      <c r="E34" s="20">
        <f t="shared" si="4"/>
        <v>2.7208628669194486</v>
      </c>
      <c r="F34" s="20">
        <f t="shared" si="4"/>
        <v>4.0902407167293049</v>
      </c>
      <c r="G34" s="20">
        <f t="shared" si="4"/>
        <v>5.4656352550608345</v>
      </c>
      <c r="H34" s="20">
        <f t="shared" si="4"/>
        <v>6.8470862228559479</v>
      </c>
      <c r="I34" s="20">
        <f t="shared" si="4"/>
        <v>8.2346337118203561</v>
      </c>
      <c r="J34" s="20">
        <f t="shared" si="4"/>
        <v>9.6283181683020373</v>
      </c>
      <c r="K34" s="20">
        <f t="shared" si="4"/>
        <v>11.028180397221293</v>
      </c>
      <c r="L34" s="20">
        <f t="shared" si="4"/>
        <v>12.434261566053163</v>
      </c>
      <c r="M34" s="20">
        <f t="shared" si="4"/>
        <v>13.846603208863057</v>
      </c>
      <c r="N34" s="20">
        <f t="shared" si="5"/>
        <v>-7.0780338926273938</v>
      </c>
      <c r="O34" s="20">
        <f t="shared" si="5"/>
        <v>-5.8259619304304238</v>
      </c>
      <c r="P34" s="20">
        <f t="shared" si="5"/>
        <v>-4.4961687512776827</v>
      </c>
      <c r="Q34" s="20">
        <f t="shared" si="5"/>
        <v>-3.1185155274726801</v>
      </c>
      <c r="R34" s="20">
        <f t="shared" si="5"/>
        <v>-1.6952711569757608</v>
      </c>
      <c r="S34" s="20">
        <f t="shared" si="5"/>
        <v>-0.18519102131631698</v>
      </c>
      <c r="T34" s="20">
        <f t="shared" si="5"/>
        <v>1.4221571351947726</v>
      </c>
      <c r="U34" s="20">
        <f t="shared" si="5"/>
        <v>3.1383043497082053</v>
      </c>
      <c r="V34" s="20">
        <f t="shared" si="5"/>
        <v>4.9759905459226994</v>
      </c>
      <c r="W34" s="20">
        <f t="shared" si="5"/>
        <v>6.9492879295261343</v>
      </c>
      <c r="X34" s="20">
        <f t="shared" si="5"/>
        <v>9.0737399507198226</v>
      </c>
      <c r="Y34" s="20">
        <f t="shared" si="5"/>
        <v>11.366518579184959</v>
      </c>
      <c r="Z34" s="20">
        <f t="shared" si="5"/>
        <v>13.846603208863057</v>
      </c>
      <c r="AA34" s="20">
        <f t="shared" si="5"/>
        <v>16.534985210881878</v>
      </c>
      <c r="AB34" s="20">
        <f t="shared" si="5"/>
        <v>19.454903015787817</v>
      </c>
      <c r="AC34" s="20">
        <f t="shared" si="5"/>
        <v>22.632113673568568</v>
      </c>
      <c r="AD34" s="20">
        <f t="shared" si="6"/>
        <v>26.095208167349803</v>
      </c>
      <c r="AE34" s="20">
        <f t="shared" si="6"/>
        <v>29.875979416984663</v>
      </c>
      <c r="AF34" s="20">
        <f t="shared" si="6"/>
        <v>34.009853998324687</v>
      </c>
      <c r="AG34" s="20">
        <f t="shared" si="6"/>
        <v>38.536401250839013</v>
      </c>
      <c r="AH34" s="20">
        <f t="shared" si="6"/>
        <v>43.49993682203587</v>
      </c>
      <c r="AI34" s="20">
        <f t="shared" si="6"/>
        <v>48.950242033749532</v>
      </c>
      <c r="AJ34" s="20">
        <f t="shared" si="6"/>
        <v>54.943426068510107</v>
      </c>
      <c r="AK34" s="20">
        <f t="shared" si="6"/>
        <v>61.542965297969388</v>
      </c>
      <c r="AL34" s="20">
        <f t="shared" si="6"/>
        <v>68.820963711692841</v>
      </c>
      <c r="AM34" s="20">
        <f t="shared" si="6"/>
        <v>76.859691197181633</v>
      </c>
      <c r="AN34" s="20">
        <f t="shared" si="6"/>
        <v>85.753473565517027</v>
      </c>
      <c r="AO34" s="20">
        <f t="shared" si="6"/>
        <v>95.611031423282355</v>
      </c>
      <c r="AP34" s="20">
        <f t="shared" si="6"/>
        <v>106.55839674282278</v>
      </c>
      <c r="AQ34" s="20">
        <f t="shared" si="6"/>
        <v>118.7425799274681</v>
      </c>
      <c r="AR34" s="20">
        <f t="shared" si="6"/>
        <v>132.33622174291364</v>
      </c>
      <c r="BE34" s="4"/>
    </row>
    <row r="35" spans="1:57" x14ac:dyDescent="0.2">
      <c r="A35" s="2">
        <f t="shared" si="7"/>
        <v>21</v>
      </c>
      <c r="B35" s="2">
        <f t="shared" si="2"/>
        <v>294.14999999999998</v>
      </c>
      <c r="C35" s="2">
        <f t="shared" si="3"/>
        <v>2487.6671127507157</v>
      </c>
      <c r="D35" s="20">
        <f t="shared" si="4"/>
        <v>1.5369425141909434</v>
      </c>
      <c r="E35" s="20">
        <f t="shared" si="4"/>
        <v>3.0814995621039651</v>
      </c>
      <c r="F35" s="20">
        <f t="shared" si="4"/>
        <v>4.6337278717321482</v>
      </c>
      <c r="G35" s="20">
        <f t="shared" si="4"/>
        <v>6.1936847359666549</v>
      </c>
      <c r="H35" s="20">
        <f t="shared" si="4"/>
        <v>7.7614280196458409</v>
      </c>
      <c r="I35" s="20">
        <f t="shared" si="4"/>
        <v>9.3370161667102192</v>
      </c>
      <c r="J35" s="20">
        <f t="shared" si="4"/>
        <v>10.920508207465071</v>
      </c>
      <c r="K35" s="20">
        <f t="shared" si="4"/>
        <v>12.511963765952649</v>
      </c>
      <c r="L35" s="20">
        <f t="shared" si="4"/>
        <v>14.111443067435872</v>
      </c>
      <c r="M35" s="20">
        <f t="shared" si="4"/>
        <v>15.719006945995526</v>
      </c>
      <c r="N35" s="20">
        <f t="shared" si="5"/>
        <v>-7.8604374475645082</v>
      </c>
      <c r="O35" s="20">
        <f t="shared" si="5"/>
        <v>-6.6101457724533228</v>
      </c>
      <c r="P35" s="20">
        <f t="shared" si="5"/>
        <v>-5.2822433900719208</v>
      </c>
      <c r="Q35" s="20">
        <f t="shared" si="5"/>
        <v>-3.9065490139346877</v>
      </c>
      <c r="R35" s="20">
        <f t="shared" si="5"/>
        <v>-2.4853283159176343</v>
      </c>
      <c r="S35" s="20">
        <f t="shared" si="5"/>
        <v>-0.97739532215193237</v>
      </c>
      <c r="T35" s="20">
        <f t="shared" si="5"/>
        <v>0.62766738971077318</v>
      </c>
      <c r="U35" s="20">
        <f t="shared" si="5"/>
        <v>2.3413744611529239</v>
      </c>
      <c r="V35" s="20">
        <f t="shared" si="5"/>
        <v>4.1764477013220622</v>
      </c>
      <c r="W35" s="20">
        <f t="shared" si="5"/>
        <v>6.1469393070193483</v>
      </c>
      <c r="X35" s="20">
        <f t="shared" si="5"/>
        <v>8.2683706276368021</v>
      </c>
      <c r="Y35" s="20">
        <f t="shared" si="5"/>
        <v>10.557889216498738</v>
      </c>
      <c r="Z35" s="20">
        <f t="shared" si="5"/>
        <v>13.034447481262379</v>
      </c>
      <c r="AA35" s="20">
        <f t="shared" si="5"/>
        <v>15.719006945995526</v>
      </c>
      <c r="AB35" s="20">
        <f t="shared" si="5"/>
        <v>18.63477299915191</v>
      </c>
      <c r="AC35" s="20">
        <f t="shared" si="5"/>
        <v>21.807466067470042</v>
      </c>
      <c r="AD35" s="20">
        <f t="shared" si="6"/>
        <v>25.265636481333924</v>
      </c>
      <c r="AE35" s="20">
        <f t="shared" si="6"/>
        <v>29.041031955108256</v>
      </c>
      <c r="AF35" s="20">
        <f t="shared" si="6"/>
        <v>33.169028692559422</v>
      </c>
      <c r="AG35" s="20">
        <f t="shared" si="6"/>
        <v>37.689139770588461</v>
      </c>
      <c r="AH35" s="20">
        <f t="shared" si="6"/>
        <v>42.645617825489111</v>
      </c>
      <c r="AI35" s="20">
        <f t="shared" si="6"/>
        <v>48.088173396387425</v>
      </c>
      <c r="AJ35" s="20">
        <f t="shared" si="6"/>
        <v>54.072835885692193</v>
      </c>
      <c r="AK35" s="20">
        <f t="shared" si="6"/>
        <v>60.662991409727937</v>
      </c>
      <c r="AL35" s="20">
        <f t="shared" si="6"/>
        <v>67.930641435357487</v>
      </c>
      <c r="AM35" s="20">
        <f t="shared" si="6"/>
        <v>75.957938872765467</v>
      </c>
      <c r="AN35" s="20">
        <f t="shared" si="6"/>
        <v>84.839075413726576</v>
      </c>
      <c r="AO35" s="20">
        <f t="shared" si="6"/>
        <v>94.682617077949203</v>
      </c>
      <c r="AP35" s="20">
        <f t="shared" si="6"/>
        <v>105.61441663634317</v>
      </c>
      <c r="AQ35" s="20">
        <f t="shared" si="6"/>
        <v>117.78127546214223</v>
      </c>
      <c r="AR35" s="20">
        <f t="shared" si="6"/>
        <v>131.35558884783015</v>
      </c>
      <c r="BE35" s="4"/>
    </row>
    <row r="36" spans="1:57" x14ac:dyDescent="0.2">
      <c r="A36" s="2">
        <f t="shared" si="7"/>
        <v>23</v>
      </c>
      <c r="B36" s="2">
        <f t="shared" si="2"/>
        <v>296.14999999999998</v>
      </c>
      <c r="C36" s="2">
        <f t="shared" si="3"/>
        <v>2810.4419198979599</v>
      </c>
      <c r="D36" s="20">
        <f t="shared" si="4"/>
        <v>1.7369176928893924</v>
      </c>
      <c r="E36" s="20">
        <f t="shared" si="4"/>
        <v>3.4835634525897849</v>
      </c>
      <c r="F36" s="20">
        <f t="shared" si="4"/>
        <v>5.2400192355261668</v>
      </c>
      <c r="G36" s="20">
        <f t="shared" si="4"/>
        <v>7.006367921331452</v>
      </c>
      <c r="H36" s="20">
        <f t="shared" si="4"/>
        <v>8.7826933258826791</v>
      </c>
      <c r="I36" s="20">
        <f t="shared" si="4"/>
        <v>10.569080214558728</v>
      </c>
      <c r="J36" s="20">
        <f t="shared" si="4"/>
        <v>12.365614315723931</v>
      </c>
      <c r="K36" s="20">
        <f t="shared" si="4"/>
        <v>14.172382334442192</v>
      </c>
      <c r="L36" s="20">
        <f t="shared" si="4"/>
        <v>15.989471966426015</v>
      </c>
      <c r="M36" s="20">
        <f t="shared" si="4"/>
        <v>17.816971912225409</v>
      </c>
      <c r="N36" s="20">
        <f t="shared" si="5"/>
        <v>-8.6406192049245618</v>
      </c>
      <c r="O36" s="20">
        <f t="shared" si="5"/>
        <v>-7.3921027614038088</v>
      </c>
      <c r="P36" s="20">
        <f t="shared" si="5"/>
        <v>-6.0660858064831684</v>
      </c>
      <c r="Q36" s="20">
        <f t="shared" si="5"/>
        <v>-4.6923447154584537</v>
      </c>
      <c r="R36" s="20">
        <f t="shared" si="5"/>
        <v>-3.2731419432824826</v>
      </c>
      <c r="S36" s="20">
        <f t="shared" si="5"/>
        <v>-1.7673499941546671</v>
      </c>
      <c r="T36" s="20">
        <f t="shared" si="5"/>
        <v>-0.16456623694506023</v>
      </c>
      <c r="U36" s="20">
        <f t="shared" si="5"/>
        <v>1.546707620719431</v>
      </c>
      <c r="V36" s="20">
        <f t="shared" si="5"/>
        <v>3.379175324875209</v>
      </c>
      <c r="W36" s="20">
        <f t="shared" si="5"/>
        <v>5.3468691202561089</v>
      </c>
      <c r="X36" s="20">
        <f t="shared" si="5"/>
        <v>7.4652883182046974</v>
      </c>
      <c r="Y36" s="20">
        <f t="shared" si="5"/>
        <v>9.7515561250237397</v>
      </c>
      <c r="Z36" s="20">
        <f t="shared" si="5"/>
        <v>12.224598038719327</v>
      </c>
      <c r="AA36" s="20">
        <f t="shared" si="5"/>
        <v>14.905345821056228</v>
      </c>
      <c r="AB36" s="20">
        <f t="shared" si="5"/>
        <v>17.816971912225409</v>
      </c>
      <c r="AC36" s="20">
        <f t="shared" si="5"/>
        <v>20.985160219715528</v>
      </c>
      <c r="AD36" s="20">
        <f t="shared" si="6"/>
        <v>24.438420536610842</v>
      </c>
      <c r="AE36" s="20">
        <f t="shared" si="6"/>
        <v>28.208455500157967</v>
      </c>
      <c r="AF36" s="20">
        <f t="shared" si="6"/>
        <v>32.330591085080158</v>
      </c>
      <c r="AG36" s="20">
        <f t="shared" si="6"/>
        <v>36.844284265479608</v>
      </c>
      <c r="AH36" s="20">
        <f t="shared" si="6"/>
        <v>41.793724845369034</v>
      </c>
      <c r="AI36" s="20">
        <f t="shared" si="6"/>
        <v>47.228552782168457</v>
      </c>
      <c r="AJ36" s="20">
        <f t="shared" si="6"/>
        <v>53.204717924717592</v>
      </c>
      <c r="AK36" s="20">
        <f t="shared" si="6"/>
        <v>59.785516390312473</v>
      </c>
      <c r="AL36" s="20">
        <f t="shared" si="6"/>
        <v>67.042847414247831</v>
      </c>
      <c r="AM36" s="20">
        <f t="shared" si="6"/>
        <v>75.058747261573146</v>
      </c>
      <c r="AN36" s="20">
        <f t="shared" si="6"/>
        <v>83.927273885616216</v>
      </c>
      <c r="AO36" s="20">
        <f t="shared" si="6"/>
        <v>93.756839158192051</v>
      </c>
      <c r="AP36" s="20">
        <f t="shared" si="6"/>
        <v>104.67311715765487</v>
      </c>
      <c r="AQ36" s="20">
        <f t="shared" si="6"/>
        <v>116.82270082072682</v>
      </c>
      <c r="AR36" s="20">
        <f t="shared" si="6"/>
        <v>130.37774066375235</v>
      </c>
      <c r="BE36" s="4"/>
    </row>
    <row r="37" spans="1:57" x14ac:dyDescent="0.2">
      <c r="A37" s="2">
        <f t="shared" si="7"/>
        <v>25</v>
      </c>
      <c r="B37" s="2">
        <f t="shared" si="2"/>
        <v>298.14999999999998</v>
      </c>
      <c r="C37" s="2">
        <f t="shared" si="3"/>
        <v>3169.2164701436277</v>
      </c>
      <c r="D37" s="20">
        <f t="shared" si="4"/>
        <v>1.9593471015303741</v>
      </c>
      <c r="E37" s="20">
        <f t="shared" si="4"/>
        <v>3.9310777939825301</v>
      </c>
      <c r="F37" s="20">
        <f t="shared" si="4"/>
        <v>5.9153098508819344</v>
      </c>
      <c r="G37" s="20">
        <f t="shared" si="4"/>
        <v>7.9121625439425394</v>
      </c>
      <c r="H37" s="20">
        <f t="shared" si="4"/>
        <v>9.9217566669657309</v>
      </c>
      <c r="I37" s="20">
        <f t="shared" si="4"/>
        <v>11.944214560198203</v>
      </c>
      <c r="J37" s="20">
        <f t="shared" si="4"/>
        <v>13.979660135159095</v>
      </c>
      <c r="K37" s="20">
        <f t="shared" si="4"/>
        <v>16.028218899946999</v>
      </c>
      <c r="L37" s="20">
        <f t="shared" si="4"/>
        <v>18.090017985037598</v>
      </c>
      <c r="M37" s="20">
        <f t="shared" si="4"/>
        <v>20.165186169583201</v>
      </c>
      <c r="N37" s="20">
        <f t="shared" si="5"/>
        <v>-9.4185886151735545</v>
      </c>
      <c r="O37" s="20">
        <f t="shared" si="5"/>
        <v>-8.1718423692515483</v>
      </c>
      <c r="P37" s="20">
        <f t="shared" si="5"/>
        <v>-6.8477054953195742</v>
      </c>
      <c r="Q37" s="20">
        <f t="shared" si="5"/>
        <v>-5.4759121505125821</v>
      </c>
      <c r="R37" s="20">
        <f t="shared" si="5"/>
        <v>-4.0587215819823692</v>
      </c>
      <c r="S37" s="20">
        <f t="shared" si="5"/>
        <v>-2.5550646061713973</v>
      </c>
      <c r="T37" s="20">
        <f t="shared" si="5"/>
        <v>-0.95455334122494639</v>
      </c>
      <c r="U37" s="20">
        <f t="shared" si="5"/>
        <v>0.75429420248160117</v>
      </c>
      <c r="V37" s="20">
        <f t="shared" si="5"/>
        <v>2.5841637590947397</v>
      </c>
      <c r="W37" s="20">
        <f t="shared" si="5"/>
        <v>4.5490676778586918</v>
      </c>
      <c r="X37" s="20">
        <f t="shared" si="5"/>
        <v>6.6644832945594636</v>
      </c>
      <c r="Y37" s="20">
        <f t="shared" si="5"/>
        <v>8.9475095375186751</v>
      </c>
      <c r="Z37" s="20">
        <f t="shared" si="5"/>
        <v>11.417045071398485</v>
      </c>
      <c r="AA37" s="20">
        <f t="shared" si="5"/>
        <v>14.093991980057059</v>
      </c>
      <c r="AB37" s="20">
        <f t="shared" si="5"/>
        <v>17.001489848853371</v>
      </c>
      <c r="AC37" s="20">
        <f>1000*(AC$19-$E$2*$A37)/($E$4+$E$3*$A37)</f>
        <v>20.165186169583205</v>
      </c>
      <c r="AD37" s="20">
        <f t="shared" si="6"/>
        <v>23.613550312981932</v>
      </c>
      <c r="AE37" s="20">
        <f t="shared" si="6"/>
        <v>27.378239967002457</v>
      </c>
      <c r="AF37" s="20">
        <f t="shared" si="6"/>
        <v>31.494531019758487</v>
      </c>
      <c r="AG37" s="20">
        <f t="shared" si="6"/>
        <v>36.001824501643043</v>
      </c>
      <c r="AH37" s="20">
        <f t="shared" si="6"/>
        <v>40.944247562560143</v>
      </c>
      <c r="AI37" s="20">
        <f t="shared" si="6"/>
        <v>46.371369778371069</v>
      </c>
      <c r="AJ37" s="20">
        <f t="shared" si="6"/>
        <v>52.339061669935035</v>
      </c>
      <c r="AK37" s="20">
        <f t="shared" si="6"/>
        <v>58.91052961072819</v>
      </c>
      <c r="AL37" s="20">
        <f t="shared" si="6"/>
        <v>66.157570894373336</v>
      </c>
      <c r="AM37" s="20">
        <f t="shared" si="6"/>
        <v>74.162105471553289</v>
      </c>
      <c r="AN37" s="20">
        <f t="shared" si="6"/>
        <v>83.01805793638863</v>
      </c>
      <c r="AO37" s="20">
        <f t="shared" si="6"/>
        <v>92.833686449915319</v>
      </c>
      <c r="AP37" s="20">
        <f t="shared" si="6"/>
        <v>103.73448690464721</v>
      </c>
      <c r="AQ37" s="20">
        <f t="shared" si="6"/>
        <v>115.86684439185439</v>
      </c>
      <c r="AR37" s="20">
        <f t="shared" si="6"/>
        <v>129.40266534584919</v>
      </c>
      <c r="BE37" s="4"/>
    </row>
    <row r="38" spans="1:57" x14ac:dyDescent="0.2">
      <c r="A38" s="2">
        <f t="shared" si="7"/>
        <v>27</v>
      </c>
      <c r="B38" s="2">
        <f t="shared" si="2"/>
        <v>300.14999999999998</v>
      </c>
      <c r="C38" s="2">
        <f t="shared" si="3"/>
        <v>3567.3118472007463</v>
      </c>
      <c r="D38" s="20">
        <f t="shared" si="4"/>
        <v>2.2063399899422871</v>
      </c>
      <c r="E38" s="20">
        <f t="shared" si="4"/>
        <v>4.4283887344358392</v>
      </c>
      <c r="F38" s="20">
        <f t="shared" si="4"/>
        <v>6.6663145982187251</v>
      </c>
      <c r="G38" s="20">
        <f t="shared" si="4"/>
        <v>8.9202883606758139</v>
      </c>
      <c r="H38" s="20">
        <f t="shared" si="4"/>
        <v>11.190483259282381</v>
      </c>
      <c r="I38" s="20">
        <f t="shared" si="4"/>
        <v>13.477075033989092</v>
      </c>
      <c r="J38" s="20">
        <f t="shared" si="4"/>
        <v>15.780241972572165</v>
      </c>
      <c r="K38" s="20">
        <f t="shared" si="4"/>
        <v>18.100164956973352</v>
      </c>
      <c r="L38" s="20">
        <f t="shared" si="4"/>
        <v>20.437027510655014</v>
      </c>
      <c r="M38" s="20">
        <f t="shared" si="4"/>
        <v>22.791015846996306</v>
      </c>
      <c r="N38" s="20">
        <f t="shared" ref="N38:AC52" si="8">1000*(N$19-$E$2*$A38)/($E$4+$E$3*$A38)</f>
        <v>-10.194355075256356</v>
      </c>
      <c r="O38" s="20">
        <f t="shared" si="8"/>
        <v>-8.9493740143232916</v>
      </c>
      <c r="P38" s="20">
        <f t="shared" si="8"/>
        <v>-7.6271118976170271</v>
      </c>
      <c r="Q38" s="20">
        <f t="shared" si="8"/>
        <v>-6.2572607836594178</v>
      </c>
      <c r="R38" s="20">
        <f t="shared" si="8"/>
        <v>-4.8420767208846645</v>
      </c>
      <c r="S38" s="20">
        <f t="shared" si="8"/>
        <v>-3.3405486728574338</v>
      </c>
      <c r="T38" s="20">
        <f t="shared" si="8"/>
        <v>-1.7423034652331977</v>
      </c>
      <c r="U38" s="20">
        <f t="shared" si="8"/>
        <v>-3.5875364971863222E-2</v>
      </c>
      <c r="V38" s="20">
        <f t="shared" si="8"/>
        <v>1.7914034011868267</v>
      </c>
      <c r="W38" s="20">
        <f t="shared" si="8"/>
        <v>3.7535253433348803</v>
      </c>
      <c r="X38" s="20">
        <f t="shared" si="8"/>
        <v>5.8659458839291991</v>
      </c>
      <c r="Y38" s="20">
        <f t="shared" si="8"/>
        <v>8.1457397420574029</v>
      </c>
      <c r="Z38" s="20">
        <f t="shared" si="8"/>
        <v>10.611778825020822</v>
      </c>
      <c r="AA38" s="20">
        <f t="shared" si="8"/>
        <v>13.28493562280895</v>
      </c>
      <c r="AB38" s="20">
        <f t="shared" si="8"/>
        <v>16.188316958982711</v>
      </c>
      <c r="AC38" s="20">
        <f t="shared" si="8"/>
        <v>19.347534012762122</v>
      </c>
      <c r="AD38" s="20">
        <f t="shared" ref="AD38:AR52" si="9">1000*(AD$19-$E$2*$A38)/($E$4+$E$3*$A38)</f>
        <v>22.791015846996302</v>
      </c>
      <c r="AE38" s="20">
        <f t="shared" si="9"/>
        <v>26.550375327625861</v>
      </c>
      <c r="AF38" s="20">
        <f t="shared" si="9"/>
        <v>30.660838397983547</v>
      </c>
      <c r="AG38" s="20">
        <f t="shared" si="9"/>
        <v>35.161750303167146</v>
      </c>
      <c r="AH38" s="20">
        <f t="shared" si="9"/>
        <v>40.097175716387561</v>
      </c>
      <c r="AI38" s="20">
        <f t="shared" si="9"/>
        <v>45.516614031244437</v>
      </c>
      <c r="AJ38" s="20">
        <f t="shared" si="9"/>
        <v>51.475856665246909</v>
      </c>
      <c r="AK38" s="20">
        <f t="shared" si="9"/>
        <v>58.038020502175826</v>
      </c>
      <c r="AL38" s="20">
        <f t="shared" si="9"/>
        <v>65.274801182646939</v>
      </c>
      <c r="AM38" s="20">
        <f t="shared" si="9"/>
        <v>73.268002672339918</v>
      </c>
      <c r="AN38" s="20">
        <f t="shared" si="9"/>
        <v>82.111416583796924</v>
      </c>
      <c r="AO38" s="20">
        <f t="shared" si="9"/>
        <v>91.913147802532663</v>
      </c>
      <c r="AP38" s="20">
        <f t="shared" si="9"/>
        <v>102.79851453978351</v>
      </c>
      <c r="AQ38" s="20">
        <f t="shared" si="9"/>
        <v>114.91369462991653</v>
      </c>
      <c r="AR38" s="20">
        <f t="shared" si="9"/>
        <v>128.43035111637101</v>
      </c>
      <c r="BE38" s="4"/>
    </row>
    <row r="39" spans="1:57" x14ac:dyDescent="0.2">
      <c r="A39" s="2">
        <f t="shared" si="7"/>
        <v>29</v>
      </c>
      <c r="B39" s="2">
        <f t="shared" si="2"/>
        <v>302.14999999999998</v>
      </c>
      <c r="C39" s="2">
        <f t="shared" si="3"/>
        <v>4008.2853164000253</v>
      </c>
      <c r="D39" s="20">
        <f t="shared" ref="D39:M52" si="10">0.62198*1000*$E$7*D$21*$C39/($E$6-$E$7*D$21*$C39)</f>
        <v>2.4801643874872696</v>
      </c>
      <c r="E39" s="20">
        <f t="shared" si="10"/>
        <v>4.980187425567653</v>
      </c>
      <c r="F39" s="20">
        <f t="shared" si="10"/>
        <v>7.5003085849757865</v>
      </c>
      <c r="G39" s="20">
        <f t="shared" si="10"/>
        <v>10.040771202279384</v>
      </c>
      <c r="H39" s="20">
        <f t="shared" si="10"/>
        <v>12.601822558204166</v>
      </c>
      <c r="I39" s="20">
        <f t="shared" si="10"/>
        <v>15.183713957870856</v>
      </c>
      <c r="J39" s="20">
        <f t="shared" si="10"/>
        <v>17.786700812998919</v>
      </c>
      <c r="K39" s="20">
        <f t="shared" si="10"/>
        <v>20.411042726133505</v>
      </c>
      <c r="L39" s="20">
        <f t="shared" si="10"/>
        <v>23.057003576953939</v>
      </c>
      <c r="M39" s="20">
        <f t="shared" si="10"/>
        <v>25.724851610724027</v>
      </c>
      <c r="N39" s="20">
        <f t="shared" si="8"/>
        <v>-10.967927928975037</v>
      </c>
      <c r="O39" s="20">
        <f t="shared" si="8"/>
        <v>-9.7247070616820697</v>
      </c>
      <c r="P39" s="20">
        <f t="shared" si="8"/>
        <v>-8.4043144010192723</v>
      </c>
      <c r="Q39" s="20">
        <f t="shared" si="8"/>
        <v>-7.036400025936115</v>
      </c>
      <c r="R39" s="20">
        <f t="shared" si="8"/>
        <v>-5.623216795194093</v>
      </c>
      <c r="S39" s="20">
        <f t="shared" si="8"/>
        <v>-4.1238116550595993</v>
      </c>
      <c r="T39" s="20">
        <f t="shared" si="8"/>
        <v>-2.5278260971104052</v>
      </c>
      <c r="U39" s="20">
        <f t="shared" si="8"/>
        <v>-0.82381059892279895</v>
      </c>
      <c r="V39" s="20">
        <f t="shared" si="8"/>
        <v>1.0008847026645804</v>
      </c>
      <c r="W39" s="20">
        <f t="shared" si="8"/>
        <v>2.9602325346899701</v>
      </c>
      <c r="X39" s="20">
        <f t="shared" si="8"/>
        <v>5.069666468244681</v>
      </c>
      <c r="Y39" s="20">
        <f t="shared" si="8"/>
        <v>7.3462370816379048</v>
      </c>
      <c r="Z39" s="20">
        <f t="shared" si="8"/>
        <v>9.8087896004709396</v>
      </c>
      <c r="AA39" s="20">
        <f t="shared" si="8"/>
        <v>12.478167004546108</v>
      </c>
      <c r="AB39" s="20">
        <f t="shared" si="8"/>
        <v>15.377443448265623</v>
      </c>
      <c r="AC39" s="20">
        <f t="shared" si="8"/>
        <v>18.53219390095347</v>
      </c>
      <c r="AD39" s="20">
        <f t="shared" si="9"/>
        <v>21.970807231549646</v>
      </c>
      <c r="AE39" s="20">
        <f t="shared" si="9"/>
        <v>25.724851610724027</v>
      </c>
      <c r="AF39" s="20">
        <f t="shared" si="9"/>
        <v>29.829503178255422</v>
      </c>
      <c r="AG39" s="20">
        <f t="shared" si="9"/>
        <v>34.324051551688427</v>
      </c>
      <c r="AH39" s="20">
        <f t="shared" si="9"/>
        <v>39.252499104203878</v>
      </c>
      <c r="AI39" s="20">
        <f t="shared" si="9"/>
        <v>44.664275245591583</v>
      </c>
      <c r="AJ39" s="20">
        <f t="shared" si="9"/>
        <v>50.615092513688261</v>
      </c>
      <c r="AK39" s="20">
        <f t="shared" si="9"/>
        <v>57.167978555626171</v>
      </c>
      <c r="AL39" s="20">
        <f t="shared" si="9"/>
        <v>64.394527646454492</v>
      </c>
      <c r="AM39" s="20">
        <f t="shared" si="9"/>
        <v>72.376428094816262</v>
      </c>
      <c r="AN39" s="20">
        <f t="shared" si="9"/>
        <v>81.207338907702436</v>
      </c>
      <c r="AO39" s="20">
        <f t="shared" si="9"/>
        <v>90.995212128517949</v>
      </c>
      <c r="AP39" s="20">
        <f t="shared" si="9"/>
        <v>101.86518878964453</v>
      </c>
      <c r="AQ39" s="20">
        <f t="shared" si="9"/>
        <v>113.96324005459907</v>
      </c>
      <c r="AR39" s="20">
        <f t="shared" si="9"/>
        <v>127.46078626417514</v>
      </c>
      <c r="BE39" s="4"/>
    </row>
    <row r="40" spans="1:57" x14ac:dyDescent="0.2">
      <c r="A40" s="2">
        <f t="shared" si="7"/>
        <v>31</v>
      </c>
      <c r="B40" s="2">
        <f t="shared" si="2"/>
        <v>304.14999999999998</v>
      </c>
      <c r="C40" s="2">
        <f t="shared" si="3"/>
        <v>4495.9412313624289</v>
      </c>
      <c r="D40" s="20">
        <f t="shared" si="10"/>
        <v>2.7832563331105242</v>
      </c>
      <c r="E40" s="20">
        <f t="shared" si="10"/>
        <v>5.591533843722484</v>
      </c>
      <c r="F40" s="20">
        <f t="shared" si="10"/>
        <v>8.4251714618828704</v>
      </c>
      <c r="G40" s="20">
        <f t="shared" si="10"/>
        <v>11.284514266808987</v>
      </c>
      <c r="H40" s="20">
        <f t="shared" si="10"/>
        <v>14.169913626978502</v>
      </c>
      <c r="I40" s="20">
        <f t="shared" si="10"/>
        <v>17.08172734406687</v>
      </c>
      <c r="J40" s="20">
        <f t="shared" si="10"/>
        <v>20.02031980085593</v>
      </c>
      <c r="K40" s="20">
        <f t="shared" si="10"/>
        <v>22.986062113242138</v>
      </c>
      <c r="L40" s="20">
        <f t="shared" si="10"/>
        <v>25.979332286477582</v>
      </c>
      <c r="M40" s="20">
        <f t="shared" si="10"/>
        <v>29.000515375781973</v>
      </c>
      <c r="N40" s="20">
        <f t="shared" si="8"/>
        <v>-11.73931646736402</v>
      </c>
      <c r="O40" s="20">
        <f t="shared" si="8"/>
        <v>-10.497850823503191</v>
      </c>
      <c r="P40" s="20">
        <f t="shared" si="8"/>
        <v>-9.1793223401548136</v>
      </c>
      <c r="Q40" s="20">
        <f t="shared" si="8"/>
        <v>-7.8133392352324726</v>
      </c>
      <c r="R40" s="20">
        <f t="shared" si="8"/>
        <v>-6.4021511868315475</v>
      </c>
      <c r="S40" s="20">
        <f t="shared" si="8"/>
        <v>-4.9048629601960734</v>
      </c>
      <c r="T40" s="20">
        <f t="shared" si="8"/>
        <v>-3.3111306714143849</v>
      </c>
      <c r="U40" s="20">
        <f t="shared" si="8"/>
        <v>-1.6095209629056964</v>
      </c>
      <c r="V40" s="20">
        <f t="shared" si="8"/>
        <v>0.21259816896468359</v>
      </c>
      <c r="W40" s="20">
        <f t="shared" si="8"/>
        <v>2.1691797240420581</v>
      </c>
      <c r="X40" s="20">
        <f t="shared" si="8"/>
        <v>4.27563548375322</v>
      </c>
      <c r="Y40" s="20">
        <f t="shared" si="8"/>
        <v>6.5489919537945465</v>
      </c>
      <c r="Z40" s="20">
        <f t="shared" si="8"/>
        <v>9.008067753407655</v>
      </c>
      <c r="AA40" s="20">
        <f t="shared" si="8"/>
        <v>11.673676435534759</v>
      </c>
      <c r="AB40" s="20">
        <f t="shared" si="8"/>
        <v>14.568859577666322</v>
      </c>
      <c r="AC40" s="20">
        <f t="shared" si="8"/>
        <v>17.719156041475127</v>
      </c>
      <c r="AD40" s="20">
        <f t="shared" si="9"/>
        <v>21.152914615486438</v>
      </c>
      <c r="AE40" s="20">
        <f t="shared" si="9"/>
        <v>24.901658901304145</v>
      </c>
      <c r="AF40" s="20">
        <f t="shared" si="9"/>
        <v>29.000515375781969</v>
      </c>
      <c r="AG40" s="20">
        <f t="shared" si="9"/>
        <v>33.488718185985242</v>
      </c>
      <c r="AH40" s="20">
        <f t="shared" si="9"/>
        <v>38.410207580979502</v>
      </c>
      <c r="AI40" s="20">
        <f t="shared" si="9"/>
        <v>43.814343184356012</v>
      </c>
      <c r="AJ40" s="20">
        <f t="shared" si="9"/>
        <v>49.756758877009311</v>
      </c>
      <c r="AK40" s="20">
        <f t="shared" si="9"/>
        <v>56.300393321398026</v>
      </c>
      <c r="AL40" s="20">
        <f t="shared" si="9"/>
        <v>63.516739713227771</v>
      </c>
      <c r="AM40" s="20">
        <f t="shared" si="9"/>
        <v>71.487371030682439</v>
      </c>
      <c r="AN40" s="20">
        <f t="shared" si="9"/>
        <v>80.305814049636169</v>
      </c>
      <c r="AO40" s="20">
        <f t="shared" si="9"/>
        <v>90.079868402960031</v>
      </c>
      <c r="AP40" s="20">
        <f t="shared" si="9"/>
        <v>100.93449844447592</v>
      </c>
      <c r="AQ40" s="20">
        <f t="shared" si="9"/>
        <v>113.01546925042101</v>
      </c>
      <c r="AR40" s="20">
        <f t="shared" si="9"/>
        <v>126.49395914425567</v>
      </c>
      <c r="BE40" s="4"/>
    </row>
    <row r="41" spans="1:57" x14ac:dyDescent="0.2">
      <c r="A41" s="2">
        <f t="shared" si="7"/>
        <v>33</v>
      </c>
      <c r="B41" s="2">
        <f t="shared" si="2"/>
        <v>306.14999999999998</v>
      </c>
      <c r="C41" s="2">
        <f t="shared" si="3"/>
        <v>5034.3420510005308</v>
      </c>
      <c r="D41" s="20">
        <f t="shared" si="10"/>
        <v>3.1182295943407707</v>
      </c>
      <c r="E41" s="20">
        <f t="shared" si="10"/>
        <v>6.2678825412555703</v>
      </c>
      <c r="F41" s="20">
        <f t="shared" si="10"/>
        <v>9.4494362402855501</v>
      </c>
      <c r="G41" s="20">
        <f t="shared" si="10"/>
        <v>12.663377810722906</v>
      </c>
      <c r="H41" s="20">
        <f t="shared" si="10"/>
        <v>15.910204340241425</v>
      </c>
      <c r="I41" s="20">
        <f t="shared" si="10"/>
        <v>19.190423141198217</v>
      </c>
      <c r="J41" s="20">
        <f t="shared" si="10"/>
        <v>22.504552014884183</v>
      </c>
      <c r="K41" s="20">
        <f t="shared" si="10"/>
        <v>25.853119524012364</v>
      </c>
      <c r="L41" s="20">
        <f t="shared" si="10"/>
        <v>29.236665273745253</v>
      </c>
      <c r="M41" s="20">
        <f t="shared" si="10"/>
        <v>32.655740201575</v>
      </c>
      <c r="N41" s="20">
        <f t="shared" si="8"/>
        <v>-12.508529929062048</v>
      </c>
      <c r="O41" s="20">
        <f t="shared" si="8"/>
        <v>-11.268814559447076</v>
      </c>
      <c r="P41" s="20">
        <f t="shared" si="8"/>
        <v>-9.9521449970106399</v>
      </c>
      <c r="Q41" s="20">
        <f t="shared" si="8"/>
        <v>-8.5880877166655978</v>
      </c>
      <c r="R41" s="20">
        <f t="shared" si="8"/>
        <v>-7.1788892248097049</v>
      </c>
      <c r="S41" s="20">
        <f t="shared" si="8"/>
        <v>-5.6837119426330327</v>
      </c>
      <c r="T41" s="20">
        <f t="shared" si="8"/>
        <v>-4.0922265694978917</v>
      </c>
      <c r="U41" s="20">
        <f t="shared" si="8"/>
        <v>-2.3930158670865747</v>
      </c>
      <c r="V41" s="20">
        <f t="shared" si="8"/>
        <v>-0.57346564093272701</v>
      </c>
      <c r="W41" s="20">
        <f t="shared" si="8"/>
        <v>1.3803574372405933</v>
      </c>
      <c r="X41" s="20">
        <f t="shared" si="8"/>
        <v>3.4838434206357638</v>
      </c>
      <c r="Y41" s="20">
        <f t="shared" si="8"/>
        <v>5.7539948102136567</v>
      </c>
      <c r="Z41" s="20">
        <f t="shared" si="8"/>
        <v>8.2096036938779005</v>
      </c>
      <c r="AA41" s="20">
        <f t="shared" si="8"/>
        <v>10.87145428068523</v>
      </c>
      <c r="AB41" s="20">
        <f t="shared" si="8"/>
        <v>13.762555663071153</v>
      </c>
      <c r="AC41" s="20">
        <f t="shared" si="8"/>
        <v>16.908410696869648</v>
      </c>
      <c r="AD41" s="20">
        <f t="shared" si="9"/>
        <v>20.33732820320559</v>
      </c>
      <c r="AE41" s="20">
        <f t="shared" si="9"/>
        <v>24.080787340287841</v>
      </c>
      <c r="AF41" s="20">
        <f t="shared" si="9"/>
        <v>28.173865062079102</v>
      </c>
      <c r="AG41" s="20">
        <f t="shared" si="9"/>
        <v>32.655740201575</v>
      </c>
      <c r="AH41" s="20">
        <f t="shared" si="9"/>
        <v>37.570291058896544</v>
      </c>
      <c r="AI41" s="20">
        <f t="shared" si="9"/>
        <v>42.966807668211914</v>
      </c>
      <c r="AJ41" s="20">
        <f t="shared" si="9"/>
        <v>48.900845475261647</v>
      </c>
      <c r="AK41" s="20">
        <f t="shared" si="9"/>
        <v>55.435254408739979</v>
      </c>
      <c r="AL41" s="20">
        <f t="shared" si="9"/>
        <v>62.641426870021384</v>
      </c>
      <c r="AM41" s="20">
        <f t="shared" si="9"/>
        <v>70.60082083202677</v>
      </c>
      <c r="AN41" s="20">
        <f t="shared" si="9"/>
        <v>79.406831212364253</v>
      </c>
      <c r="AO41" s="20">
        <f t="shared" si="9"/>
        <v>89.167105663121475</v>
      </c>
      <c r="AP41" s="20">
        <f t="shared" si="9"/>
        <v>100.00643235773937</v>
      </c>
      <c r="AQ41" s="20">
        <f t="shared" si="9"/>
        <v>112.07037086627766</v>
      </c>
      <c r="AR41" s="20">
        <f t="shared" si="9"/>
        <v>125.52985817727738</v>
      </c>
      <c r="BE41" s="4"/>
    </row>
    <row r="42" spans="1:57" x14ac:dyDescent="0.2">
      <c r="A42" s="2">
        <f t="shared" si="7"/>
        <v>35</v>
      </c>
      <c r="B42" s="2">
        <f t="shared" si="2"/>
        <v>308.14999999999998</v>
      </c>
      <c r="C42" s="2">
        <f t="shared" si="3"/>
        <v>5627.8194465402403</v>
      </c>
      <c r="D42" s="20">
        <f t="shared" si="10"/>
        <v>3.4878859244196692</v>
      </c>
      <c r="E42" s="20">
        <f t="shared" si="10"/>
        <v>7.0151105823329667</v>
      </c>
      <c r="F42" s="20">
        <f t="shared" si="10"/>
        <v>10.582343281405867</v>
      </c>
      <c r="G42" s="20">
        <f t="shared" si="10"/>
        <v>14.190268599338051</v>
      </c>
      <c r="H42" s="20">
        <f t="shared" si="10"/>
        <v>17.839586821836903</v>
      </c>
      <c r="I42" s="20">
        <f t="shared" si="10"/>
        <v>21.531014395752905</v>
      </c>
      <c r="J42" s="20">
        <f t="shared" si="10"/>
        <v>25.265284397992083</v>
      </c>
      <c r="K42" s="20">
        <f t="shared" si="10"/>
        <v>29.043147020850334</v>
      </c>
      <c r="L42" s="20">
        <f t="shared" si="10"/>
        <v>32.86537007444435</v>
      </c>
      <c r="M42" s="20">
        <f t="shared" si="10"/>
        <v>36.732739506946075</v>
      </c>
      <c r="N42" s="20">
        <f t="shared" si="8"/>
        <v>-13.275577500681022</v>
      </c>
      <c r="O42" s="20">
        <f t="shared" si="8"/>
        <v>-12.037607477028908</v>
      </c>
      <c r="P42" s="20">
        <f t="shared" si="8"/>
        <v>-10.722791601302777</v>
      </c>
      <c r="Q42" s="20">
        <f t="shared" si="8"/>
        <v>-9.3606547229513772</v>
      </c>
      <c r="R42" s="20">
        <f t="shared" si="8"/>
        <v>-7.9534401856054524</v>
      </c>
      <c r="S42" s="20">
        <f t="shared" si="8"/>
        <v>-6.4603679040580895</v>
      </c>
      <c r="T42" s="20">
        <f t="shared" si="8"/>
        <v>-4.8711231198831468</v>
      </c>
      <c r="U42" s="20">
        <f t="shared" si="8"/>
        <v>-3.1743046686386598</v>
      </c>
      <c r="V42" s="20">
        <f t="shared" si="8"/>
        <v>-1.3573161148809689</v>
      </c>
      <c r="W42" s="20">
        <f t="shared" si="8"/>
        <v>0.5937562534881432</v>
      </c>
      <c r="X42" s="20">
        <f t="shared" si="8"/>
        <v>2.6942808226272441</v>
      </c>
      <c r="Y42" s="20">
        <f t="shared" si="8"/>
        <v>4.9612361563523288</v>
      </c>
      <c r="Z42" s="20">
        <f t="shared" si="8"/>
        <v>7.4133878859338633</v>
      </c>
      <c r="AA42" s="20">
        <f t="shared" si="8"/>
        <v>10.071490959167285</v>
      </c>
      <c r="AB42" s="20">
        <f t="shared" si="8"/>
        <v>12.95852207490198</v>
      </c>
      <c r="AC42" s="20">
        <f t="shared" si="8"/>
        <v>16.099948184515501</v>
      </c>
      <c r="AD42" s="20">
        <f t="shared" si="9"/>
        <v>19.524038254269353</v>
      </c>
      <c r="AE42" s="20">
        <f t="shared" si="9"/>
        <v>23.262227124117558</v>
      </c>
      <c r="AF42" s="20">
        <f t="shared" si="9"/>
        <v>27.3495423645744</v>
      </c>
      <c r="AG42" s="20">
        <f t="shared" si="9"/>
        <v>31.825107650314774</v>
      </c>
      <c r="AH42" s="20">
        <f t="shared" si="9"/>
        <v>36.732739506946068</v>
      </c>
      <c r="AI42" s="20">
        <f t="shared" si="9"/>
        <v>42.12165857515771</v>
      </c>
      <c r="AJ42" s="20">
        <f t="shared" si="9"/>
        <v>48.047342086387758</v>
      </c>
      <c r="AK42" s="20">
        <f t="shared" si="9"/>
        <v>54.572551485415495</v>
      </c>
      <c r="AL42" s="20">
        <f t="shared" si="9"/>
        <v>61.768578663092924</v>
      </c>
      <c r="AM42" s="20">
        <f t="shared" si="9"/>
        <v>69.716766910900631</v>
      </c>
      <c r="AN42" s="20">
        <f t="shared" si="9"/>
        <v>78.510379659456731</v>
      </c>
      <c r="AO42" s="20">
        <f t="shared" si="9"/>
        <v>88.256913008000865</v>
      </c>
      <c r="AP42" s="20">
        <f t="shared" si="9"/>
        <v>99.080979445667651</v>
      </c>
      <c r="AQ42" s="20">
        <f t="shared" si="9"/>
        <v>111.12793361498736</v>
      </c>
      <c r="AR42" s="20">
        <f t="shared" si="9"/>
        <v>124.56847184911335</v>
      </c>
      <c r="BE42" s="4"/>
    </row>
    <row r="43" spans="1:57" x14ac:dyDescent="0.2">
      <c r="A43" s="2">
        <f t="shared" si="7"/>
        <v>37</v>
      </c>
      <c r="B43" s="2">
        <f t="shared" si="2"/>
        <v>310.14999999999998</v>
      </c>
      <c r="C43" s="2">
        <f t="shared" si="3"/>
        <v>6280.9854778690415</v>
      </c>
      <c r="D43" s="20">
        <f t="shared" si="10"/>
        <v>3.895225914380394</v>
      </c>
      <c r="E43" s="20">
        <f t="shared" si="10"/>
        <v>7.8395479578363085</v>
      </c>
      <c r="F43" s="20">
        <f t="shared" si="10"/>
        <v>11.833900241904676</v>
      </c>
      <c r="G43" s="20">
        <f t="shared" si="10"/>
        <v>15.879240726127133</v>
      </c>
      <c r="H43" s="20">
        <f t="shared" si="10"/>
        <v>19.976551983992483</v>
      </c>
      <c r="I43" s="20">
        <f t="shared" si="10"/>
        <v>24.1268419985904</v>
      </c>
      <c r="J43" s="20">
        <f t="shared" si="10"/>
        <v>28.331144989329641</v>
      </c>
      <c r="K43" s="20">
        <f t="shared" si="10"/>
        <v>32.590522271145097</v>
      </c>
      <c r="L43" s="20">
        <f t="shared" si="10"/>
        <v>36.906063147692983</v>
      </c>
      <c r="M43" s="20">
        <f t="shared" si="10"/>
        <v>41.27888584011319</v>
      </c>
      <c r="N43" s="20">
        <f t="shared" si="8"/>
        <v>-14.040468317171712</v>
      </c>
      <c r="O43" s="20">
        <f t="shared" si="8"/>
        <v>-12.804238731985192</v>
      </c>
      <c r="P43" s="20">
        <f t="shared" si="8"/>
        <v>-11.491271330843725</v>
      </c>
      <c r="Q43" s="20">
        <f t="shared" si="8"/>
        <v>-10.13104945477283</v>
      </c>
      <c r="R43" s="20">
        <f t="shared" si="8"/>
        <v>-8.7258132935291943</v>
      </c>
      <c r="S43" s="20">
        <f t="shared" si="8"/>
        <v>-7.2348400938505968</v>
      </c>
      <c r="T43" s="20">
        <f t="shared" si="8"/>
        <v>-5.6478295986332077</v>
      </c>
      <c r="U43" s="20">
        <f t="shared" si="8"/>
        <v>-3.9533966721148914</v>
      </c>
      <c r="V43" s="20">
        <f t="shared" si="8"/>
        <v>-2.1389625879405436</v>
      </c>
      <c r="W43" s="20">
        <f t="shared" si="8"/>
        <v>-0.19063319503464693</v>
      </c>
      <c r="X43" s="20">
        <f t="shared" si="8"/>
        <v>1.9069382866401254</v>
      </c>
      <c r="Y43" s="20">
        <f t="shared" si="8"/>
        <v>4.1707065510604409</v>
      </c>
      <c r="Z43" s="20">
        <f t="shared" si="8"/>
        <v>6.6194108472533593</v>
      </c>
      <c r="AA43" s="20">
        <f t="shared" si="8"/>
        <v>9.2737769440287163</v>
      </c>
      <c r="AB43" s="20">
        <f t="shared" si="8"/>
        <v>12.156749237732827</v>
      </c>
      <c r="AC43" s="20">
        <f t="shared" si="8"/>
        <v>15.293758876241601</v>
      </c>
      <c r="AD43" s="20">
        <f t="shared" si="9"/>
        <v>18.713035083015566</v>
      </c>
      <c r="AE43" s="20">
        <f t="shared" si="9"/>
        <v>22.44596850436627</v>
      </c>
      <c r="AF43" s="20">
        <f t="shared" si="9"/>
        <v>26.527537466214099</v>
      </c>
      <c r="AG43" s="20">
        <f t="shared" si="9"/>
        <v>30.996810640005254</v>
      </c>
      <c r="AH43" s="20">
        <f t="shared" si="9"/>
        <v>35.897542950528738</v>
      </c>
      <c r="AI43" s="20">
        <f t="shared" si="9"/>
        <v>41.278885840113183</v>
      </c>
      <c r="AJ43" s="20">
        <f t="shared" si="9"/>
        <v>47.196238545814133</v>
      </c>
      <c r="AK43" s="20">
        <f t="shared" si="9"/>
        <v>53.712274277291634</v>
      </c>
      <c r="AL43" s="20">
        <f t="shared" si="9"/>
        <v>60.898184697486869</v>
      </c>
      <c r="AM43" s="20">
        <f t="shared" si="9"/>
        <v>68.835198738897006</v>
      </c>
      <c r="AN43" s="20">
        <f t="shared" si="9"/>
        <v>77.616448714860269</v>
      </c>
      <c r="AO43" s="20">
        <f t="shared" si="9"/>
        <v>87.349279597898828</v>
      </c>
      <c r="AP43" s="20">
        <f t="shared" si="9"/>
        <v>98.158128686823432</v>
      </c>
      <c r="AQ43" s="20">
        <f t="shared" si="9"/>
        <v>110.18814627284226</v>
      </c>
      <c r="AR43" s="20">
        <f t="shared" si="9"/>
        <v>123.60978871038668</v>
      </c>
      <c r="BE43" s="4"/>
    </row>
    <row r="44" spans="1:57" x14ac:dyDescent="0.2">
      <c r="A44" s="2">
        <f t="shared" si="7"/>
        <v>39</v>
      </c>
      <c r="B44" s="2">
        <f t="shared" si="2"/>
        <v>312.14999999999998</v>
      </c>
      <c r="C44" s="2">
        <f t="shared" si="3"/>
        <v>6998.7438182217256</v>
      </c>
      <c r="D44" s="20">
        <f t="shared" si="10"/>
        <v>4.3434605055118389</v>
      </c>
      <c r="E44" s="20">
        <f t="shared" si="10"/>
        <v>8.748010820180312</v>
      </c>
      <c r="F44" s="20">
        <f t="shared" si="10"/>
        <v>13.214948893627476</v>
      </c>
      <c r="G44" s="20">
        <f t="shared" si="10"/>
        <v>17.745609707063885</v>
      </c>
      <c r="H44" s="20">
        <f t="shared" si="10"/>
        <v>22.341366603454006</v>
      </c>
      <c r="I44" s="20">
        <f t="shared" si="10"/>
        <v>27.003632675431611</v>
      </c>
      <c r="J44" s="20">
        <f t="shared" si="10"/>
        <v>31.733862213911458</v>
      </c>
      <c r="K44" s="20">
        <f t="shared" si="10"/>
        <v>36.533552220516924</v>
      </c>
      <c r="L44" s="20">
        <f t="shared" si="10"/>
        <v>41.404243987127572</v>
      </c>
      <c r="M44" s="20">
        <f t="shared" si="10"/>
        <v>46.347524746047711</v>
      </c>
      <c r="N44" s="20">
        <f t="shared" si="8"/>
        <v>-14.803211462186386</v>
      </c>
      <c r="O44" s="20">
        <f t="shared" si="8"/>
        <v>-13.568717428637218</v>
      </c>
      <c r="P44" s="20">
        <f t="shared" si="8"/>
        <v>-12.257593311906788</v>
      </c>
      <c r="Q44" s="20">
        <f t="shared" si="8"/>
        <v>-10.899281061145352</v>
      </c>
      <c r="R44" s="20">
        <f t="shared" si="8"/>
        <v>-9.496017721091027</v>
      </c>
      <c r="S44" s="20">
        <f t="shared" si="8"/>
        <v>-8.0071377094488216</v>
      </c>
      <c r="T44" s="20">
        <f t="shared" si="8"/>
        <v>-6.4223552297201989</v>
      </c>
      <c r="U44" s="20">
        <f t="shared" si="8"/>
        <v>-4.7303011298172919</v>
      </c>
      <c r="V44" s="20">
        <f t="shared" si="8"/>
        <v>-2.9184143427497173</v>
      </c>
      <c r="W44" s="20">
        <f t="shared" si="8"/>
        <v>-0.97282022354093456</v>
      </c>
      <c r="X44" s="20">
        <f t="shared" si="8"/>
        <v>1.1218064623911197</v>
      </c>
      <c r="Y44" s="20">
        <f t="shared" si="8"/>
        <v>3.3823966062058655</v>
      </c>
      <c r="Z44" s="20">
        <f t="shared" si="8"/>
        <v>5.827663148763401</v>
      </c>
      <c r="AA44" s="20">
        <f t="shared" si="8"/>
        <v>8.4783027618171367</v>
      </c>
      <c r="AB44" s="20">
        <f t="shared" si="8"/>
        <v>11.357227629909753</v>
      </c>
      <c r="AC44" s="20">
        <f t="shared" si="8"/>
        <v>14.489833197945098</v>
      </c>
      <c r="AD44" s="20">
        <f t="shared" si="9"/>
        <v>17.904309058173141</v>
      </c>
      <c r="AE44" s="20">
        <f t="shared" si="9"/>
        <v>21.6320017873505</v>
      </c>
      <c r="AF44" s="20">
        <f t="shared" si="9"/>
        <v>25.707840605073343</v>
      </c>
      <c r="AG44" s="20">
        <f t="shared" si="9"/>
        <v>30.170839333998039</v>
      </c>
      <c r="AH44" s="20">
        <f t="shared" si="9"/>
        <v>35.064691471058879</v>
      </c>
      <c r="AI44" s="20">
        <f t="shared" si="9"/>
        <v>40.438479454519836</v>
      </c>
      <c r="AJ44" s="20">
        <f t="shared" si="9"/>
        <v>46.347524746047704</v>
      </c>
      <c r="AK44" s="20">
        <f t="shared" si="9"/>
        <v>52.854412567931135</v>
      </c>
      <c r="AL44" s="20">
        <f t="shared" si="9"/>
        <v>60.030234636621877</v>
      </c>
      <c r="AM44" s="20">
        <f t="shared" si="9"/>
        <v>67.95610584673247</v>
      </c>
      <c r="AN44" s="20">
        <f t="shared" si="9"/>
        <v>76.725027762474241</v>
      </c>
      <c r="AO44" s="20">
        <f t="shared" si="9"/>
        <v>86.44419465398768</v>
      </c>
      <c r="AP44" s="20">
        <f t="shared" si="9"/>
        <v>97.237869121661547</v>
      </c>
      <c r="AQ44" s="20">
        <f t="shared" si="9"/>
        <v>109.25099767916257</v>
      </c>
      <c r="AR44" s="20">
        <f t="shared" si="9"/>
        <v>122.65379737601585</v>
      </c>
      <c r="BE44" s="4"/>
    </row>
    <row r="45" spans="1:57" x14ac:dyDescent="0.2">
      <c r="A45" s="2">
        <f t="shared" si="7"/>
        <v>41</v>
      </c>
      <c r="B45" s="2">
        <f t="shared" si="2"/>
        <v>314.14999999999998</v>
      </c>
      <c r="C45" s="2">
        <f t="shared" si="3"/>
        <v>7786.3010060206152</v>
      </c>
      <c r="D45" s="20">
        <f t="shared" si="10"/>
        <v>4.8360232373571854</v>
      </c>
      <c r="E45" s="20">
        <f t="shared" si="10"/>
        <v>9.7478379322440727</v>
      </c>
      <c r="F45" s="20">
        <f t="shared" si="10"/>
        <v>14.737239893033049</v>
      </c>
      <c r="G45" s="20">
        <f t="shared" si="10"/>
        <v>19.806082113099372</v>
      </c>
      <c r="H45" s="20">
        <f t="shared" si="10"/>
        <v>24.956277065307756</v>
      </c>
      <c r="I45" s="20">
        <f t="shared" si="10"/>
        <v>30.189799107869284</v>
      </c>
      <c r="J45" s="20">
        <f t="shared" si="10"/>
        <v>35.508687007926639</v>
      </c>
      <c r="K45" s="20">
        <f t="shared" si="10"/>
        <v>40.915046589644156</v>
      </c>
      <c r="L45" s="20">
        <f t="shared" si="10"/>
        <v>46.411053514028339</v>
      </c>
      <c r="M45" s="20">
        <f t="shared" si="10"/>
        <v>51.998956198188075</v>
      </c>
      <c r="N45" s="20">
        <f t="shared" si="8"/>
        <v>-15.563815968438414</v>
      </c>
      <c r="O45" s="20">
        <f t="shared" si="8"/>
        <v>-14.331052620251457</v>
      </c>
      <c r="P45" s="20">
        <f t="shared" si="8"/>
        <v>-13.02176661958736</v>
      </c>
      <c r="Q45" s="20">
        <f t="shared" si="8"/>
        <v>-11.665358639778894</v>
      </c>
      <c r="R45" s="20">
        <f t="shared" si="8"/>
        <v>-10.264062589363849</v>
      </c>
      <c r="S45" s="20">
        <f t="shared" si="8"/>
        <v>-8.7772698967140457</v>
      </c>
      <c r="T45" s="20">
        <f t="shared" si="8"/>
        <v>-7.1947091853904634</v>
      </c>
      <c r="U45" s="20">
        <f t="shared" si="8"/>
        <v>-5.5050272421632336</v>
      </c>
      <c r="V45" s="20">
        <f t="shared" si="8"/>
        <v>-3.6956806098919843</v>
      </c>
      <c r="W45" s="20">
        <f t="shared" si="8"/>
        <v>-1.7528140950064337</v>
      </c>
      <c r="X45" s="20">
        <f t="shared" si="8"/>
        <v>0.33887605203104959</v>
      </c>
      <c r="Y45" s="20">
        <f t="shared" si="8"/>
        <v>2.5962969863028347</v>
      </c>
      <c r="Z45" s="20">
        <f t="shared" si="8"/>
        <v>5.0381354142669492</v>
      </c>
      <c r="AA45" s="20">
        <f t="shared" si="8"/>
        <v>7.6850589922049766</v>
      </c>
      <c r="AB45" s="20">
        <f t="shared" si="8"/>
        <v>10.55994778317393</v>
      </c>
      <c r="AC45" s="20">
        <f t="shared" si="8"/>
        <v>13.688161629212383</v>
      </c>
      <c r="AD45" s="20">
        <f t="shared" si="9"/>
        <v>17.097850602480818</v>
      </c>
      <c r="AE45" s="20">
        <f t="shared" si="9"/>
        <v>20.820317333746587</v>
      </c>
      <c r="AF45" s="20">
        <f t="shared" si="9"/>
        <v>24.890442073969787</v>
      </c>
      <c r="AG45" s="20">
        <f t="shared" si="9"/>
        <v>29.347183950806265</v>
      </c>
      <c r="AH45" s="20">
        <f t="shared" si="9"/>
        <v>34.234175205571809</v>
      </c>
      <c r="AI45" s="20">
        <f t="shared" si="9"/>
        <v>39.600429465944735</v>
      </c>
      <c r="AJ45" s="20">
        <f t="shared" si="9"/>
        <v>45.501190636275787</v>
      </c>
      <c r="AK45" s="20">
        <f t="shared" si="9"/>
        <v>51.998956198188075</v>
      </c>
      <c r="AL45" s="20">
        <f t="shared" si="9"/>
        <v>59.164718201881669</v>
      </c>
      <c r="AM45" s="20">
        <f t="shared" si="9"/>
        <v>67.079477823832818</v>
      </c>
      <c r="AN45" s="20">
        <f t="shared" si="9"/>
        <v>75.836106245730576</v>
      </c>
      <c r="AO45" s="20">
        <f t="shared" si="9"/>
        <v>85.541647457884793</v>
      </c>
      <c r="AP45" s="20">
        <f t="shared" si="9"/>
        <v>96.320189852095382</v>
      </c>
      <c r="AQ45" s="20">
        <f t="shared" si="9"/>
        <v>108.31647673585496</v>
      </c>
      <c r="AR45" s="20">
        <f t="shared" si="9"/>
        <v>121.70048652476412</v>
      </c>
      <c r="BE45" s="4"/>
    </row>
    <row r="46" spans="1:57" x14ac:dyDescent="0.2">
      <c r="A46" s="2">
        <f t="shared" si="7"/>
        <v>43</v>
      </c>
      <c r="B46" s="2">
        <f t="shared" si="2"/>
        <v>316.14999999999998</v>
      </c>
      <c r="C46" s="2">
        <f t="shared" si="3"/>
        <v>8649.1777025859828</v>
      </c>
      <c r="D46" s="20">
        <f t="shared" si="10"/>
        <v>5.3765833173321393</v>
      </c>
      <c r="E46" s="20">
        <f t="shared" si="10"/>
        <v>10.846930786422432</v>
      </c>
      <c r="F46" s="20">
        <f t="shared" si="10"/>
        <v>16.413516762517997</v>
      </c>
      <c r="G46" s="20">
        <f t="shared" si="10"/>
        <v>22.078903434961212</v>
      </c>
      <c r="H46" s="20">
        <f t="shared" si="10"/>
        <v>27.845744759479807</v>
      </c>
      <c r="I46" s="20">
        <f t="shared" si="10"/>
        <v>33.716790603641705</v>
      </c>
      <c r="J46" s="20">
        <f t="shared" si="10"/>
        <v>39.694891119078811</v>
      </c>
      <c r="K46" s="20">
        <f t="shared" si="10"/>
        <v>45.783001355085339</v>
      </c>
      <c r="L46" s="20">
        <f t="shared" si="10"/>
        <v>51.984186129281433</v>
      </c>
      <c r="M46" s="20">
        <f t="shared" si="10"/>
        <v>58.301625172209242</v>
      </c>
      <c r="N46" s="20">
        <f t="shared" si="8"/>
        <v>-16.322290818058832</v>
      </c>
      <c r="O46" s="20">
        <f t="shared" si="8"/>
        <v>-15.091253309396947</v>
      </c>
      <c r="P46" s="20">
        <f t="shared" si="8"/>
        <v>-13.783800278161166</v>
      </c>
      <c r="Q46" s="20">
        <f t="shared" si="8"/>
        <v>-12.429291237437097</v>
      </c>
      <c r="R46" s="20">
        <f t="shared" si="8"/>
        <v>-11.029956968343418</v>
      </c>
      <c r="S46" s="20">
        <f t="shared" si="8"/>
        <v>-9.5452457502915919</v>
      </c>
      <c r="T46" s="20">
        <f t="shared" si="8"/>
        <v>-7.9649005865266327</v>
      </c>
      <c r="U46" s="20">
        <f t="shared" si="8"/>
        <v>-6.2775841580486187</v>
      </c>
      <c r="V46" s="20">
        <f t="shared" si="8"/>
        <v>-4.4707705682604466</v>
      </c>
      <c r="W46" s="20">
        <f t="shared" si="8"/>
        <v>-2.5306240205350714</v>
      </c>
      <c r="X46" s="20">
        <f t="shared" si="8"/>
        <v>-0.44186219022218814</v>
      </c>
      <c r="Y46" s="20">
        <f t="shared" si="8"/>
        <v>1.8123984081434148</v>
      </c>
      <c r="Z46" s="20">
        <f t="shared" si="8"/>
        <v>4.2508183200727778</v>
      </c>
      <c r="AA46" s="20">
        <f t="shared" si="8"/>
        <v>6.8940362676176079</v>
      </c>
      <c r="AB46" s="20">
        <f t="shared" si="8"/>
        <v>9.7649002822878899</v>
      </c>
      <c r="AC46" s="20">
        <f t="shared" si="8"/>
        <v>12.888734702943259</v>
      </c>
      <c r="AD46" s="20">
        <f t="shared" si="9"/>
        <v>16.293650192309098</v>
      </c>
      <c r="AE46" s="20">
        <f t="shared" si="9"/>
        <v>20.010905558210176</v>
      </c>
      <c r="AF46" s="20">
        <f t="shared" si="9"/>
        <v>24.075332220080387</v>
      </c>
      <c r="AG46" s="20">
        <f t="shared" si="9"/>
        <v>28.525834763718468</v>
      </c>
      <c r="AH46" s="20">
        <f t="shared" si="9"/>
        <v>33.405984346334542</v>
      </c>
      <c r="AI46" s="20">
        <f t="shared" si="9"/>
        <v>38.764725977687654</v>
      </c>
      <c r="AJ46" s="20">
        <f t="shared" si="9"/>
        <v>44.657226221969296</v>
      </c>
      <c r="AK46" s="20">
        <f t="shared" si="9"/>
        <v>51.145895065806762</v>
      </c>
      <c r="AL46" s="20">
        <f t="shared" si="9"/>
        <v>58.301625172209242</v>
      </c>
      <c r="AM46" s="20">
        <f t="shared" si="9"/>
        <v>66.205304317922085</v>
      </c>
      <c r="AN46" s="20">
        <f t="shared" si="9"/>
        <v>74.949673667176938</v>
      </c>
      <c r="AO46" s="20">
        <f t="shared" si="9"/>
        <v>84.641627351229502</v>
      </c>
      <c r="AP46" s="20">
        <f t="shared" si="9"/>
        <v>95.405080041066583</v>
      </c>
      <c r="AQ46" s="20">
        <f t="shared" si="9"/>
        <v>107.38457240697439</v>
      </c>
      <c r="AR46" s="20">
        <f t="shared" si="9"/>
        <v>120.74984489879267</v>
      </c>
      <c r="BE46" s="4"/>
    </row>
    <row r="47" spans="1:57" x14ac:dyDescent="0.2">
      <c r="A47" s="2">
        <f t="shared" si="7"/>
        <v>45</v>
      </c>
      <c r="B47" s="2">
        <f t="shared" si="2"/>
        <v>318.14999999999998</v>
      </c>
      <c r="C47" s="2">
        <f t="shared" si="3"/>
        <v>9593.2199344286055</v>
      </c>
      <c r="D47" s="20">
        <f t="shared" si="10"/>
        <v>5.9690596103683431</v>
      </c>
      <c r="E47" s="20">
        <f t="shared" si="10"/>
        <v>12.05379792153896</v>
      </c>
      <c r="F47" s="20">
        <f t="shared" si="10"/>
        <v>18.257610567889564</v>
      </c>
      <c r="G47" s="20">
        <f t="shared" si="10"/>
        <v>24.584027397709203</v>
      </c>
      <c r="H47" s="20">
        <f t="shared" si="10"/>
        <v>31.03671917045456</v>
      </c>
      <c r="I47" s="20">
        <f t="shared" si="10"/>
        <v>37.619504659079524</v>
      </c>
      <c r="J47" s="20">
        <f t="shared" si="10"/>
        <v>44.33635818631268</v>
      </c>
      <c r="K47" s="20">
        <f t="shared" si="10"/>
        <v>51.191417626133948</v>
      </c>
      <c r="L47" s="20">
        <f t="shared" si="10"/>
        <v>58.188992904300235</v>
      </c>
      <c r="M47" s="20">
        <f t="shared" si="10"/>
        <v>65.333575034614967</v>
      </c>
      <c r="N47" s="20">
        <f t="shared" si="8"/>
        <v>-17.078644942949886</v>
      </c>
      <c r="O47" s="20">
        <f t="shared" si="8"/>
        <v>-15.849328448299666</v>
      </c>
      <c r="P47" s="20">
        <f t="shared" si="8"/>
        <v>-14.543703261439477</v>
      </c>
      <c r="Q47" s="20">
        <f t="shared" si="8"/>
        <v>-13.191087850293393</v>
      </c>
      <c r="R47" s="20">
        <f t="shared" si="8"/>
        <v>-11.793709877305373</v>
      </c>
      <c r="S47" s="20">
        <f t="shared" si="8"/>
        <v>-10.311074313968827</v>
      </c>
      <c r="T47" s="20">
        <f t="shared" si="8"/>
        <v>-8.7329385030066593</v>
      </c>
      <c r="U47" s="20">
        <f t="shared" si="8"/>
        <v>-7.0479809752080245</v>
      </c>
      <c r="V47" s="20">
        <f t="shared" si="8"/>
        <v>-5.2436933454191292</v>
      </c>
      <c r="W47" s="20">
        <f t="shared" si="8"/>
        <v>-3.3062591597215745</v>
      </c>
      <c r="X47" s="20">
        <f t="shared" si="8"/>
        <v>-1.2204174584475747</v>
      </c>
      <c r="Y47" s="20">
        <f t="shared" si="8"/>
        <v>1.0306916404320809</v>
      </c>
      <c r="Z47" s="20">
        <f t="shared" si="8"/>
        <v>3.4657025946284561</v>
      </c>
      <c r="AA47" s="20">
        <f t="shared" si="8"/>
        <v>6.1052252728645939</v>
      </c>
      <c r="AB47" s="20">
        <f t="shared" si="8"/>
        <v>8.9720757646648863</v>
      </c>
      <c r="AC47" s="20">
        <f t="shared" si="8"/>
        <v>12.091543004978277</v>
      </c>
      <c r="AD47" s="20">
        <f t="shared" si="9"/>
        <v>15.491698357285335</v>
      </c>
      <c r="AE47" s="20">
        <f t="shared" si="9"/>
        <v>19.203756928998882</v>
      </c>
      <c r="AF47" s="20">
        <f t="shared" si="9"/>
        <v>23.262501444561408</v>
      </c>
      <c r="AG47" s="20">
        <f t="shared" si="9"/>
        <v>27.706782100415683</v>
      </c>
      <c r="AH47" s="20">
        <f t="shared" si="9"/>
        <v>32.580109140459655</v>
      </c>
      <c r="AI47" s="20">
        <f t="shared" si="9"/>
        <v>37.931359148391422</v>
      </c>
      <c r="AJ47" s="20">
        <f t="shared" si="9"/>
        <v>43.815621564489284</v>
      </c>
      <c r="AK47" s="20">
        <f t="shared" si="9"/>
        <v>50.295219125024076</v>
      </c>
      <c r="AL47" s="20">
        <f t="shared" si="9"/>
        <v>57.440945383704488</v>
      </c>
      <c r="AM47" s="20">
        <f t="shared" si="9"/>
        <v>65.333575034614967</v>
      </c>
      <c r="AN47" s="20">
        <f t="shared" si="9"/>
        <v>74.065719588063573</v>
      </c>
      <c r="AO47" s="20">
        <f t="shared" si="9"/>
        <v>83.744123735263443</v>
      </c>
      <c r="AP47" s="20">
        <f t="shared" si="9"/>
        <v>94.492528912118388</v>
      </c>
      <c r="AQ47" s="20">
        <f t="shared" si="9"/>
        <v>106.45527371828956</v>
      </c>
      <c r="AR47" s="20">
        <f t="shared" si="9"/>
        <v>119.80186130321729</v>
      </c>
      <c r="BE47" s="4"/>
    </row>
    <row r="48" spans="1:57" x14ac:dyDescent="0.2">
      <c r="A48" s="2">
        <f t="shared" si="7"/>
        <v>47</v>
      </c>
      <c r="B48" s="2">
        <f t="shared" si="2"/>
        <v>320.14999999999998</v>
      </c>
      <c r="C48" s="2">
        <f t="shared" si="3"/>
        <v>10624.610298922886</v>
      </c>
      <c r="D48" s="20">
        <f t="shared" si="10"/>
        <v>6.6176356608694151</v>
      </c>
      <c r="E48" s="20">
        <f t="shared" si="10"/>
        <v>13.377604048853339</v>
      </c>
      <c r="F48" s="20">
        <f t="shared" si="10"/>
        <v>20.284547041341202</v>
      </c>
      <c r="G48" s="20">
        <f t="shared" si="10"/>
        <v>27.343310580636313</v>
      </c>
      <c r="H48" s="20">
        <f t="shared" si="10"/>
        <v>34.558956012375717</v>
      </c>
      <c r="I48" s="20">
        <f t="shared" si="10"/>
        <v>41.936772188438852</v>
      </c>
      <c r="J48" s="20">
        <f t="shared" si="10"/>
        <v>49.482288395164645</v>
      </c>
      <c r="K48" s="20">
        <f t="shared" si="10"/>
        <v>57.201288173290308</v>
      </c>
      <c r="L48" s="20">
        <f t="shared" si="10"/>
        <v>65.09982410220357</v>
      </c>
      <c r="M48" s="20">
        <f t="shared" si="10"/>
        <v>73.184233627933509</v>
      </c>
      <c r="N48" s="20">
        <f t="shared" si="8"/>
        <v>-17.8328872251357</v>
      </c>
      <c r="O48" s="20">
        <f t="shared" si="8"/>
        <v>-16.605286939193956</v>
      </c>
      <c r="P48" s="20">
        <f t="shared" si="8"/>
        <v>-15.301484493121393</v>
      </c>
      <c r="Q48" s="20">
        <f t="shared" si="8"/>
        <v>-13.950757424284168</v>
      </c>
      <c r="R48" s="20">
        <f t="shared" si="8"/>
        <v>-12.555330285159286</v>
      </c>
      <c r="S48" s="20">
        <f t="shared" si="8"/>
        <v>-11.074764581030172</v>
      </c>
      <c r="T48" s="20">
        <f t="shared" si="8"/>
        <v>-9.498831954059856</v>
      </c>
      <c r="U48" s="20">
        <f t="shared" si="8"/>
        <v>-7.8162267405718229</v>
      </c>
      <c r="V48" s="20">
        <f t="shared" si="8"/>
        <v>-6.0144580179612817</v>
      </c>
      <c r="W48" s="20">
        <f t="shared" si="8"/>
        <v>-4.0797286210110242</v>
      </c>
      <c r="X48" s="20">
        <f t="shared" si="8"/>
        <v>-1.9967988953818743</v>
      </c>
      <c r="Y48" s="20">
        <f t="shared" si="8"/>
        <v>0.25116750342335448</v>
      </c>
      <c r="Z48" s="20">
        <f t="shared" si="8"/>
        <v>2.6827790181564035</v>
      </c>
      <c r="AA48" s="20">
        <f t="shared" si="8"/>
        <v>5.3186167447740376</v>
      </c>
      <c r="AB48" s="20">
        <f t="shared" si="8"/>
        <v>8.1814649200013854</v>
      </c>
      <c r="AC48" s="20">
        <f t="shared" si="8"/>
        <v>11.296577173729194</v>
      </c>
      <c r="AD48" s="20">
        <f t="shared" si="9"/>
        <v>14.691985679922004</v>
      </c>
      <c r="AE48" s="20">
        <f t="shared" si="9"/>
        <v>18.398861967598137</v>
      </c>
      <c r="AF48" s="20">
        <f t="shared" si="9"/>
        <v>22.45194020217167</v>
      </c>
      <c r="AG48" s="20">
        <f t="shared" si="9"/>
        <v>26.890016342591807</v>
      </c>
      <c r="AH48" s="20">
        <f t="shared" si="9"/>
        <v>31.756539889522507</v>
      </c>
      <c r="AI48" s="20">
        <f t="shared" si="9"/>
        <v>37.100319191655707</v>
      </c>
      <c r="AJ48" s="20">
        <f t="shared" si="9"/>
        <v>42.976366780696885</v>
      </c>
      <c r="AK48" s="20">
        <f t="shared" si="9"/>
        <v>49.446918386175177</v>
      </c>
      <c r="AL48" s="20">
        <f t="shared" si="9"/>
        <v>56.582668729225304</v>
      </c>
      <c r="AM48" s="20">
        <f t="shared" si="9"/>
        <v>64.464279737012845</v>
      </c>
      <c r="AN48" s="20">
        <f t="shared" si="9"/>
        <v>73.184233627933509</v>
      </c>
      <c r="AO48" s="20">
        <f t="shared" si="9"/>
        <v>82.849126070414641</v>
      </c>
      <c r="AP48" s="20">
        <f t="shared" si="9"/>
        <v>93.582525748972728</v>
      </c>
      <c r="AQ48" s="20">
        <f t="shared" si="9"/>
        <v>105.52856975685232</v>
      </c>
      <c r="AR48" s="20">
        <f t="shared" si="9"/>
        <v>118.85652460566905</v>
      </c>
      <c r="BE48" s="4"/>
    </row>
    <row r="49" spans="1:44" x14ac:dyDescent="0.2">
      <c r="A49" s="2">
        <f t="shared" si="7"/>
        <v>49</v>
      </c>
      <c r="B49" s="2">
        <f t="shared" si="2"/>
        <v>322.14999999999998</v>
      </c>
      <c r="C49" s="2">
        <f t="shared" si="3"/>
        <v>11749.879112340668</v>
      </c>
      <c r="D49" s="20">
        <f t="shared" si="10"/>
        <v>7.3267758749288987</v>
      </c>
      <c r="E49" s="20">
        <f t="shared" si="10"/>
        <v>14.828224695884733</v>
      </c>
      <c r="F49" s="20">
        <f t="shared" si="10"/>
        <v>22.510668217159484</v>
      </c>
      <c r="G49" s="20">
        <f t="shared" si="10"/>
        <v>30.380736980392633</v>
      </c>
      <c r="H49" s="20">
        <f t="shared" si="10"/>
        <v>38.445389401117062</v>
      </c>
      <c r="I49" s="20">
        <f t="shared" si="10"/>
        <v>46.711932288742418</v>
      </c>
      <c r="J49" s="20">
        <f t="shared" si="10"/>
        <v>55.188042927164318</v>
      </c>
      <c r="K49" s="20">
        <f t="shared" si="10"/>
        <v>63.881792856250847</v>
      </c>
      <c r="L49" s="20">
        <f t="shared" si="10"/>
        <v>72.801673509050062</v>
      </c>
      <c r="M49" s="20">
        <f t="shared" si="10"/>
        <v>81.956623875884858</v>
      </c>
      <c r="N49" s="20">
        <f t="shared" si="8"/>
        <v>-18.585026497109908</v>
      </c>
      <c r="O49" s="20">
        <f t="shared" si="8"/>
        <v>-17.359137634670979</v>
      </c>
      <c r="P49" s="20">
        <f t="shared" si="8"/>
        <v>-16.057152847143133</v>
      </c>
      <c r="Q49" s="20">
        <f t="shared" si="8"/>
        <v>-14.708308855458926</v>
      </c>
      <c r="R49" s="20">
        <f t="shared" si="8"/>
        <v>-13.314827110799747</v>
      </c>
      <c r="S49" s="20">
        <f t="shared" si="8"/>
        <v>-11.836325494609133</v>
      </c>
      <c r="T49" s="20">
        <f t="shared" si="8"/>
        <v>-10.262589908619942</v>
      </c>
      <c r="U49" s="20">
        <f t="shared" si="8"/>
        <v>-8.5823304506203186</v>
      </c>
      <c r="V49" s="20">
        <f t="shared" si="8"/>
        <v>-6.7830736118646673</v>
      </c>
      <c r="W49" s="20">
        <f t="shared" si="8"/>
        <v>-4.8510414620553961</v>
      </c>
      <c r="X49" s="20">
        <f t="shared" si="8"/>
        <v>-2.7710155927775184</v>
      </c>
      <c r="Y49" s="20">
        <f t="shared" si="8"/>
        <v>-0.52618313143753337</v>
      </c>
      <c r="Z49" s="20">
        <f t="shared" si="8"/>
        <v>1.9020384222929898</v>
      </c>
      <c r="AA49" s="20">
        <f t="shared" si="8"/>
        <v>4.5342014718299799</v>
      </c>
      <c r="AB49" s="20">
        <f t="shared" si="8"/>
        <v>7.3930584899126224</v>
      </c>
      <c r="AC49" s="20">
        <f t="shared" si="8"/>
        <v>10.503827899812523</v>
      </c>
      <c r="AD49" s="20">
        <f t="shared" si="9"/>
        <v>13.894502795248062</v>
      </c>
      <c r="AE49" s="20">
        <f t="shared" si="9"/>
        <v>17.596211248350183</v>
      </c>
      <c r="AF49" s="20">
        <f t="shared" si="9"/>
        <v>21.643639000898872</v>
      </c>
      <c r="AG49" s="20">
        <f t="shared" si="9"/>
        <v>26.075527925577063</v>
      </c>
      <c r="AH49" s="20">
        <f t="shared" si="9"/>
        <v>30.93526694918156</v>
      </c>
      <c r="AI49" s="20">
        <f t="shared" si="9"/>
        <v>36.271596375653871</v>
      </c>
      <c r="AJ49" s="20">
        <f t="shared" si="9"/>
        <v>42.13945204256639</v>
      </c>
      <c r="AK49" s="20">
        <f t="shared" si="9"/>
        <v>48.600982915302431</v>
      </c>
      <c r="AL49" s="20">
        <f t="shared" si="9"/>
        <v>55.726785157991898</v>
      </c>
      <c r="AM49" s="20">
        <f t="shared" si="9"/>
        <v>63.597408245303008</v>
      </c>
      <c r="AN49" s="20">
        <f t="shared" si="9"/>
        <v>72.305205464216257</v>
      </c>
      <c r="AO49" s="20">
        <f t="shared" si="9"/>
        <v>81.956623875884858</v>
      </c>
      <c r="AP49" s="20">
        <f t="shared" si="9"/>
        <v>92.675059895110692</v>
      </c>
      <c r="AQ49" s="20">
        <f t="shared" si="9"/>
        <v>104.60444967057042</v>
      </c>
      <c r="AR49" s="20">
        <f t="shared" si="9"/>
        <v>117.91382373585854</v>
      </c>
    </row>
    <row r="50" spans="1:44" x14ac:dyDescent="0.2">
      <c r="A50" s="2">
        <f t="shared" si="7"/>
        <v>51</v>
      </c>
      <c r="B50" s="2">
        <f t="shared" si="2"/>
        <v>324.14999999999998</v>
      </c>
      <c r="C50" s="2">
        <f t="shared" si="3"/>
        <v>12975.915479491436</v>
      </c>
      <c r="D50" s="20">
        <f t="shared" si="10"/>
        <v>8.1012430084465521</v>
      </c>
      <c r="E50" s="20">
        <f t="shared" si="10"/>
        <v>16.416307190974901</v>
      </c>
      <c r="F50" s="20">
        <f t="shared" si="10"/>
        <v>24.95377103020418</v>
      </c>
      <c r="G50" s="20">
        <f t="shared" si="10"/>
        <v>33.722678119220276</v>
      </c>
      <c r="H50" s="20">
        <f t="shared" si="10"/>
        <v>42.73256911656663</v>
      </c>
      <c r="I50" s="20">
        <f t="shared" si="10"/>
        <v>51.993516372466125</v>
      </c>
      <c r="J50" s="20">
        <f t="shared" si="10"/>
        <v>61.516161490468967</v>
      </c>
      <c r="K50" s="20">
        <f t="shared" si="10"/>
        <v>71.311756119011918</v>
      </c>
      <c r="L50" s="20">
        <f t="shared" si="10"/>
        <v>81.392206301628946</v>
      </c>
      <c r="M50" s="20">
        <f t="shared" si="10"/>
        <v>91.770120753356537</v>
      </c>
      <c r="N50" s="20">
        <f t="shared" si="8"/>
        <v>-19.335071542180469</v>
      </c>
      <c r="O50" s="20">
        <f t="shared" si="8"/>
        <v>-18.1108893380243</v>
      </c>
      <c r="P50" s="20">
        <f t="shared" si="8"/>
        <v>-16.810717148024455</v>
      </c>
      <c r="Q50" s="20">
        <f t="shared" si="8"/>
        <v>-15.463750990327565</v>
      </c>
      <c r="R50" s="20">
        <f t="shared" si="8"/>
        <v>-14.072209223454522</v>
      </c>
      <c r="S50" s="20">
        <f t="shared" si="8"/>
        <v>-12.595765948037412</v>
      </c>
      <c r="T50" s="20">
        <f t="shared" si="8"/>
        <v>-11.024221285675146</v>
      </c>
      <c r="U50" s="20">
        <f t="shared" si="8"/>
        <v>-9.346301051734935</v>
      </c>
      <c r="V50" s="20">
        <f t="shared" si="8"/>
        <v>-7.5495491028439057</v>
      </c>
      <c r="W50" s="20">
        <f t="shared" si="8"/>
        <v>-5.6202066900671364</v>
      </c>
      <c r="X50" s="20">
        <f t="shared" si="8"/>
        <v>-3.5430765917575147</v>
      </c>
      <c r="Y50" s="20">
        <f t="shared" si="8"/>
        <v>-1.301369341870984</v>
      </c>
      <c r="Z50" s="20">
        <f t="shared" si="8"/>
        <v>1.1234716897306347</v>
      </c>
      <c r="AA50" s="20">
        <f t="shared" si="8"/>
        <v>3.7519702938128119</v>
      </c>
      <c r="AB50" s="20">
        <f t="shared" si="8"/>
        <v>6.6068472675711822</v>
      </c>
      <c r="AC50" s="20">
        <f t="shared" si="8"/>
        <v>9.7132859256861259</v>
      </c>
      <c r="AD50" s="20">
        <f t="shared" si="9"/>
        <v>13.099240390443367</v>
      </c>
      <c r="AE50" s="20">
        <f t="shared" si="9"/>
        <v>16.795795398086096</v>
      </c>
      <c r="AF50" s="20">
        <f t="shared" si="9"/>
        <v>20.837588401589084</v>
      </c>
      <c r="AG50" s="20">
        <f t="shared" si="9"/>
        <v>25.263307337964644</v>
      </c>
      <c r="AH50" s="20">
        <f t="shared" si="9"/>
        <v>30.116280728801918</v>
      </c>
      <c r="AI50" s="20">
        <f t="shared" si="9"/>
        <v>35.445181022753104</v>
      </c>
      <c r="AJ50" s="20">
        <f t="shared" si="9"/>
        <v>41.304867576801627</v>
      </c>
      <c r="AK50" s="20">
        <f t="shared" si="9"/>
        <v>47.757402833767628</v>
      </c>
      <c r="AL50" s="20">
        <f t="shared" si="9"/>
        <v>54.873284675194455</v>
      </c>
      <c r="AM50" s="20">
        <f t="shared" si="9"/>
        <v>62.732950436361229</v>
      </c>
      <c r="AN50" s="20">
        <f t="shared" si="9"/>
        <v>71.42862483182482</v>
      </c>
      <c r="AO50" s="20">
        <f t="shared" si="9"/>
        <v>81.06660672924049</v>
      </c>
      <c r="AP50" s="20">
        <f t="shared" si="9"/>
        <v>91.770120753356537</v>
      </c>
      <c r="AQ50" s="20">
        <f t="shared" si="9"/>
        <v>103.68290266778385</v>
      </c>
      <c r="AR50" s="20">
        <f t="shared" si="9"/>
        <v>116.97374768514369</v>
      </c>
    </row>
    <row r="51" spans="1:44" x14ac:dyDescent="0.2">
      <c r="A51" s="2">
        <f t="shared" si="7"/>
        <v>53</v>
      </c>
      <c r="B51" s="2">
        <f t="shared" si="2"/>
        <v>326.14999999999998</v>
      </c>
      <c r="C51" s="2">
        <f t="shared" si="3"/>
        <v>14309.97826456951</v>
      </c>
      <c r="D51" s="20">
        <f t="shared" si="10"/>
        <v>8.9461171267941744</v>
      </c>
      <c r="E51" s="20">
        <f t="shared" si="10"/>
        <v>18.153338945783229</v>
      </c>
      <c r="F51" s="20">
        <f t="shared" si="10"/>
        <v>27.633265790351722</v>
      </c>
      <c r="G51" s="20">
        <f t="shared" si="10"/>
        <v>37.398195494665146</v>
      </c>
      <c r="H51" s="20">
        <f t="shared" si="10"/>
        <v>47.461176617580236</v>
      </c>
      <c r="I51" s="20">
        <f t="shared" si="10"/>
        <v>57.836066615688161</v>
      </c>
      <c r="J51" s="20">
        <f t="shared" si="10"/>
        <v>68.537595510848305</v>
      </c>
      <c r="K51" s="20">
        <f t="shared" si="10"/>
        <v>79.581435667348231</v>
      </c>
      <c r="L51" s="20">
        <f t="shared" si="10"/>
        <v>90.984278373810412</v>
      </c>
      <c r="M51" s="20">
        <f t="shared" si="10"/>
        <v>102.76391801684477</v>
      </c>
      <c r="N51" s="20">
        <f t="shared" si="8"/>
        <v>-20.083031094811524</v>
      </c>
      <c r="O51" s="20">
        <f t="shared" si="8"/>
        <v>-18.860550803592531</v>
      </c>
      <c r="P51" s="20">
        <f t="shared" si="8"/>
        <v>-17.562186171212133</v>
      </c>
      <c r="Q51" s="20">
        <f t="shared" si="8"/>
        <v>-16.217092626204703</v>
      </c>
      <c r="R51" s="20">
        <f t="shared" si="8"/>
        <v>-14.827485443029756</v>
      </c>
      <c r="S51" s="20">
        <f t="shared" si="8"/>
        <v>-13.353094785191061</v>
      </c>
      <c r="T51" s="20">
        <f t="shared" si="8"/>
        <v>-11.783734954615388</v>
      </c>
      <c r="U51" s="20">
        <f t="shared" si="8"/>
        <v>-10.108147440546444</v>
      </c>
      <c r="V51" s="20">
        <f t="shared" si="8"/>
        <v>-8.3138934166998464</v>
      </c>
      <c r="W51" s="20">
        <f t="shared" si="8"/>
        <v>-6.3872332621697598</v>
      </c>
      <c r="X51" s="20">
        <f t="shared" si="8"/>
        <v>-4.3129908831673642</v>
      </c>
      <c r="Y51" s="20">
        <f t="shared" si="8"/>
        <v>-2.074400155116376</v>
      </c>
      <c r="Z51" s="20">
        <f t="shared" si="8"/>
        <v>0.34706975386292427</v>
      </c>
      <c r="AA51" s="20">
        <f t="shared" si="8"/>
        <v>2.9719141014427275</v>
      </c>
      <c r="AB51" s="20">
        <f t="shared" si="8"/>
        <v>5.8228220973486344</v>
      </c>
      <c r="AC51" s="20">
        <f t="shared" si="8"/>
        <v>8.9249420452888746</v>
      </c>
      <c r="AD51" s="20">
        <f t="shared" si="9"/>
        <v>12.306189204476174</v>
      </c>
      <c r="AE51" s="20">
        <f t="shared" si="9"/>
        <v>15.997605095760964</v>
      </c>
      <c r="AF51" s="20">
        <f t="shared" si="9"/>
        <v>20.03377901757931</v>
      </c>
      <c r="AG51" s="20">
        <f t="shared" si="9"/>
        <v>24.453345121240478</v>
      </c>
      <c r="AH51" s="20">
        <f t="shared" si="9"/>
        <v>29.299571691082004</v>
      </c>
      <c r="AI51" s="20">
        <f t="shared" si="9"/>
        <v>34.621063509137699</v>
      </c>
      <c r="AJ51" s="20">
        <f t="shared" si="9"/>
        <v>40.472603664455498</v>
      </c>
      <c r="AK51" s="20">
        <f t="shared" si="9"/>
        <v>46.916168317867459</v>
      </c>
      <c r="AL51" s="20">
        <f t="shared" si="9"/>
        <v>54.022157341604078</v>
      </c>
      <c r="AM51" s="20">
        <f t="shared" si="9"/>
        <v>61.870896243357791</v>
      </c>
      <c r="AN51" s="20">
        <f t="shared" si="9"/>
        <v>70.554481522756106</v>
      </c>
      <c r="AO51" s="20">
        <f t="shared" si="9"/>
        <v>80.179064266006847</v>
      </c>
      <c r="AP51" s="20">
        <f t="shared" si="9"/>
        <v>90.867697785465168</v>
      </c>
      <c r="AQ51" s="20">
        <f t="shared" si="9"/>
        <v>102.76391801684477</v>
      </c>
      <c r="AR51" s="20">
        <f t="shared" si="9"/>
        <v>116.03628550610119</v>
      </c>
    </row>
    <row r="52" spans="1:44" x14ac:dyDescent="0.2">
      <c r="A52" s="2">
        <f t="shared" si="7"/>
        <v>55</v>
      </c>
      <c r="B52" s="2">
        <f t="shared" si="2"/>
        <v>328.15</v>
      </c>
      <c r="C52" s="2">
        <f t="shared" si="3"/>
        <v>15759.706943242292</v>
      </c>
      <c r="D52" s="20">
        <f t="shared" si="10"/>
        <v>9.8668162243707087</v>
      </c>
      <c r="E52" s="20">
        <f t="shared" si="10"/>
        <v>20.051724151341272</v>
      </c>
      <c r="F52" s="20">
        <f t="shared" si="10"/>
        <v>30.570358009067256</v>
      </c>
      <c r="G52" s="20">
        <f t="shared" si="10"/>
        <v>41.439393655555705</v>
      </c>
      <c r="H52" s="20">
        <f t="shared" si="10"/>
        <v>52.676636796224216</v>
      </c>
      <c r="I52" s="20">
        <f t="shared" si="10"/>
        <v>64.30112032150862</v>
      </c>
      <c r="J52" s="20">
        <f t="shared" si="10"/>
        <v>76.333211883787826</v>
      </c>
      <c r="K52" s="20">
        <f t="shared" si="10"/>
        <v>88.794732992682739</v>
      </c>
      <c r="L52" s="20">
        <f t="shared" si="10"/>
        <v>101.70909109370341</v>
      </c>
      <c r="M52" s="20">
        <f t="shared" si="10"/>
        <v>115.10142631210171</v>
      </c>
      <c r="N52" s="20">
        <f t="shared" si="8"/>
        <v>-20.8289138409625</v>
      </c>
      <c r="O52" s="20">
        <f t="shared" si="8"/>
        <v>-19.608130737099188</v>
      </c>
      <c r="P52" s="20">
        <f t="shared" si="8"/>
        <v>-18.311568643420618</v>
      </c>
      <c r="Q52" s="20">
        <f t="shared" si="8"/>
        <v>-16.968342511551217</v>
      </c>
      <c r="R52" s="20">
        <f t="shared" si="8"/>
        <v>-15.580664540452398</v>
      </c>
      <c r="S52" s="20">
        <f t="shared" si="8"/>
        <v>-14.108320800833816</v>
      </c>
      <c r="T52" s="20">
        <f t="shared" si="8"/>
        <v>-12.54113973557657</v>
      </c>
      <c r="U52" s="20">
        <f t="shared" si="8"/>
        <v>-10.867878464280329</v>
      </c>
      <c r="V52" s="20">
        <f t="shared" si="8"/>
        <v>-9.0761154296660571</v>
      </c>
      <c r="W52" s="20">
        <f t="shared" si="8"/>
        <v>-7.1521300857455605</v>
      </c>
      <c r="X52" s="20">
        <f t="shared" si="8"/>
        <v>-5.0807674079240783</v>
      </c>
      <c r="Y52" s="20">
        <f t="shared" si="8"/>
        <v>-2.8452845482824953</v>
      </c>
      <c r="Z52" s="20">
        <f t="shared" si="8"/>
        <v>-0.42717640156734588</v>
      </c>
      <c r="AA52" s="20">
        <f t="shared" si="8"/>
        <v>2.1940238360261048</v>
      </c>
      <c r="AB52" s="20">
        <f t="shared" si="8"/>
        <v>5.0409738744601196</v>
      </c>
      <c r="AC52" s="20">
        <f t="shared" si="8"/>
        <v>8.1387871036832777</v>
      </c>
      <c r="AD52" s="20">
        <f t="shared" si="9"/>
        <v>11.515340027743651</v>
      </c>
      <c r="AE52" s="20">
        <f t="shared" si="9"/>
        <v>15.201631072092043</v>
      </c>
      <c r="AF52" s="20">
        <f t="shared" si="9"/>
        <v>19.232201514333131</v>
      </c>
      <c r="AG52" s="20">
        <f t="shared" si="9"/>
        <v>23.645631869416082</v>
      </c>
      <c r="AH52" s="20">
        <f t="shared" si="9"/>
        <v>28.48513035168336</v>
      </c>
      <c r="AI52" s="20">
        <f t="shared" si="9"/>
        <v>33.799234264435512</v>
      </c>
      <c r="AJ52" s="20">
        <f t="shared" si="9"/>
        <v>39.642650640552766</v>
      </c>
      <c r="AK52" s="20">
        <f t="shared" si="9"/>
        <v>46.077269598452204</v>
      </c>
      <c r="AL52" s="20">
        <f t="shared" si="9"/>
        <v>53.173393273187003</v>
      </c>
      <c r="AM52" s="20">
        <f t="shared" si="9"/>
        <v>61.011235655366704</v>
      </c>
      <c r="AN52" s="20">
        <f t="shared" si="9"/>
        <v>69.682765385694779</v>
      </c>
      <c r="AO52" s="20">
        <f t="shared" si="9"/>
        <v>79.293986179265914</v>
      </c>
      <c r="AP52" s="20">
        <f t="shared" si="9"/>
        <v>89.967780511713144</v>
      </c>
      <c r="AQ52" s="20">
        <f t="shared" si="9"/>
        <v>101.84748504570102</v>
      </c>
      <c r="AR52" s="20">
        <f t="shared" si="9"/>
        <v>115.10142631210169</v>
      </c>
    </row>
    <row r="53" spans="1:44" x14ac:dyDescent="0.2">
      <c r="F53" s="8"/>
      <c r="G53" s="8"/>
    </row>
    <row r="54" spans="1:44" x14ac:dyDescent="0.2">
      <c r="A54" s="2" t="s">
        <v>1484</v>
      </c>
      <c r="B54" s="254" t="s">
        <v>929</v>
      </c>
      <c r="C54" s="11"/>
      <c r="D54" s="11"/>
      <c r="E54" s="255">
        <f>DESIGN!V51</f>
        <v>19.001116320862707</v>
      </c>
      <c r="F54" s="8"/>
      <c r="G54" s="254" t="s">
        <v>929</v>
      </c>
      <c r="H54" s="11"/>
      <c r="I54" s="11"/>
      <c r="J54" s="255">
        <f>DESIGN!AC43-DESIGN!V27</f>
        <v>-5</v>
      </c>
      <c r="K54" s="2" t="s">
        <v>1485</v>
      </c>
      <c r="M54" s="2" t="str">
        <f>DESIGN!$C$35</f>
        <v>External Air</v>
      </c>
    </row>
    <row r="55" spans="1:44" x14ac:dyDescent="0.2">
      <c r="B55" s="256" t="s">
        <v>930</v>
      </c>
      <c r="C55" s="13"/>
      <c r="D55" s="13"/>
      <c r="E55" s="257">
        <f>DESIGN!AC45</f>
        <v>2.2379341661572782</v>
      </c>
      <c r="F55" s="8"/>
      <c r="G55" s="256" t="s">
        <v>930</v>
      </c>
      <c r="H55" s="13"/>
      <c r="I55" s="13"/>
      <c r="J55" s="257">
        <f>DESIGN!AC45</f>
        <v>2.2379341661572782</v>
      </c>
      <c r="M55" s="2">
        <f>DESIGN!$E$37</f>
        <v>-5</v>
      </c>
    </row>
    <row r="56" spans="1:44" x14ac:dyDescent="0.2">
      <c r="B56" s="12"/>
      <c r="C56" s="13"/>
      <c r="D56" s="13"/>
      <c r="E56" s="257"/>
      <c r="G56" s="12"/>
      <c r="H56" s="13"/>
      <c r="I56" s="13"/>
      <c r="J56" s="257"/>
      <c r="M56" s="2">
        <f>DESIGN!$W$45</f>
        <v>2.2379341661572782</v>
      </c>
    </row>
    <row r="57" spans="1:44" x14ac:dyDescent="0.2">
      <c r="B57" s="12" t="s">
        <v>931</v>
      </c>
      <c r="C57" s="13"/>
      <c r="D57" s="13"/>
      <c r="E57" s="257">
        <f>DESIGN!W60</f>
        <v>19.905815399642382</v>
      </c>
      <c r="G57" s="12" t="s">
        <v>931</v>
      </c>
      <c r="H57" s="13"/>
      <c r="I57" s="13"/>
      <c r="J57" s="257">
        <f>E54</f>
        <v>19.001116320862707</v>
      </c>
    </row>
    <row r="58" spans="1:44" x14ac:dyDescent="0.2">
      <c r="B58" s="12" t="s">
        <v>932</v>
      </c>
      <c r="C58" s="13"/>
      <c r="D58" s="258"/>
      <c r="E58" s="257">
        <f>DESIGN!W61</f>
        <v>7.2486087294864303</v>
      </c>
      <c r="F58" s="8"/>
      <c r="G58" s="12" t="s">
        <v>932</v>
      </c>
      <c r="H58" s="13"/>
      <c r="I58" s="258"/>
      <c r="J58" s="257">
        <f>E55</f>
        <v>2.2379341661572782</v>
      </c>
    </row>
    <row r="59" spans="1:44" x14ac:dyDescent="0.2">
      <c r="B59" s="12"/>
      <c r="C59" s="13"/>
      <c r="D59" s="258"/>
      <c r="E59" s="257"/>
      <c r="F59" s="8"/>
      <c r="G59" s="12"/>
      <c r="H59" s="13"/>
      <c r="I59" s="258"/>
      <c r="J59" s="257"/>
    </row>
    <row r="60" spans="1:44" x14ac:dyDescent="0.2">
      <c r="B60" s="12"/>
      <c r="C60" s="13" t="s">
        <v>933</v>
      </c>
      <c r="D60" s="13"/>
      <c r="E60" s="257"/>
      <c r="F60" s="8"/>
      <c r="G60" s="12"/>
      <c r="H60" s="13" t="s">
        <v>1486</v>
      </c>
      <c r="I60" s="13"/>
      <c r="J60" s="257"/>
    </row>
    <row r="61" spans="1:44" x14ac:dyDescent="0.2">
      <c r="B61" s="12"/>
      <c r="C61" s="13" t="s">
        <v>868</v>
      </c>
      <c r="D61" s="13" t="s">
        <v>882</v>
      </c>
      <c r="E61" s="257"/>
      <c r="F61" s="8"/>
      <c r="G61" s="12"/>
      <c r="H61" s="13" t="s">
        <v>868</v>
      </c>
      <c r="I61" s="13" t="s">
        <v>882</v>
      </c>
      <c r="J61" s="257"/>
    </row>
    <row r="62" spans="1:44" x14ac:dyDescent="0.2">
      <c r="B62" s="12">
        <v>1</v>
      </c>
      <c r="C62" s="13">
        <f>E54</f>
        <v>19.001116320862707</v>
      </c>
      <c r="D62" s="13">
        <f>E55</f>
        <v>2.2379341661572782</v>
      </c>
      <c r="E62" s="257"/>
      <c r="F62" s="8"/>
      <c r="G62" s="12">
        <v>1</v>
      </c>
      <c r="H62" s="13">
        <f>J54</f>
        <v>-5</v>
      </c>
      <c r="I62" s="13">
        <f>J55</f>
        <v>2.2379341661572782</v>
      </c>
      <c r="J62" s="257"/>
    </row>
    <row r="63" spans="1:44" x14ac:dyDescent="0.2">
      <c r="B63" s="12">
        <f>B62+1</f>
        <v>2</v>
      </c>
      <c r="C63" s="13">
        <f t="shared" ref="C63:C101" si="11">C62+((C$102-C$62)/40)</f>
        <v>19.0237337978322</v>
      </c>
      <c r="D63" s="13">
        <f t="shared" ref="D63:D101" si="12">D62+((D$102-D$62)/40)</f>
        <v>2.3632010302405071</v>
      </c>
      <c r="E63" s="257"/>
      <c r="F63" s="8"/>
      <c r="G63" s="12">
        <f>G62+1</f>
        <v>2</v>
      </c>
      <c r="H63" s="13">
        <f t="shared" ref="H63:H101" si="13">H62+((H$102-H$62)/40)</f>
        <v>-4.399972091978432</v>
      </c>
      <c r="I63" s="13">
        <f t="shared" ref="I63:I101" si="14">I62+((I$102-I$62)/40)</f>
        <v>2.2379341661572782</v>
      </c>
      <c r="J63" s="257"/>
      <c r="K63" s="20"/>
      <c r="N63" s="20"/>
    </row>
    <row r="64" spans="1:44" x14ac:dyDescent="0.2">
      <c r="B64" s="12">
        <f t="shared" ref="B64:B102" si="15">B63+1</f>
        <v>3</v>
      </c>
      <c r="C64" s="13">
        <f t="shared" si="11"/>
        <v>19.046351274801694</v>
      </c>
      <c r="D64" s="13">
        <f t="shared" si="12"/>
        <v>2.4884678943237359</v>
      </c>
      <c r="E64" s="257"/>
      <c r="F64" s="8"/>
      <c r="G64" s="12">
        <f t="shared" ref="G64:G102" si="16">G63+1</f>
        <v>3</v>
      </c>
      <c r="H64" s="13">
        <f t="shared" si="13"/>
        <v>-3.7999441839568644</v>
      </c>
      <c r="I64" s="13">
        <f t="shared" si="14"/>
        <v>2.2379341661572782</v>
      </c>
      <c r="J64" s="257"/>
      <c r="K64" s="20"/>
      <c r="N64" s="20"/>
    </row>
    <row r="65" spans="2:14" x14ac:dyDescent="0.2">
      <c r="B65" s="12">
        <f t="shared" si="15"/>
        <v>4</v>
      </c>
      <c r="C65" s="13">
        <f t="shared" si="11"/>
        <v>19.068968751771187</v>
      </c>
      <c r="D65" s="13">
        <f t="shared" si="12"/>
        <v>2.6137347584069648</v>
      </c>
      <c r="E65" s="257"/>
      <c r="F65" s="8"/>
      <c r="G65" s="12">
        <f t="shared" si="16"/>
        <v>4</v>
      </c>
      <c r="H65" s="13">
        <f t="shared" si="13"/>
        <v>-3.1999162759352968</v>
      </c>
      <c r="I65" s="13">
        <f t="shared" si="14"/>
        <v>2.2379341661572782</v>
      </c>
      <c r="J65" s="257"/>
      <c r="K65" s="20"/>
      <c r="N65" s="20"/>
    </row>
    <row r="66" spans="2:14" x14ac:dyDescent="0.2">
      <c r="B66" s="12">
        <f t="shared" si="15"/>
        <v>5</v>
      </c>
      <c r="C66" s="13">
        <f t="shared" si="11"/>
        <v>19.091586228740681</v>
      </c>
      <c r="D66" s="13">
        <f t="shared" si="12"/>
        <v>2.7390016224901936</v>
      </c>
      <c r="E66" s="257"/>
      <c r="F66" s="8"/>
      <c r="G66" s="12">
        <f t="shared" si="16"/>
        <v>5</v>
      </c>
      <c r="H66" s="13">
        <f t="shared" si="13"/>
        <v>-2.5998883679137292</v>
      </c>
      <c r="I66" s="13">
        <f t="shared" si="14"/>
        <v>2.2379341661572782</v>
      </c>
      <c r="J66" s="257"/>
      <c r="K66" s="20"/>
      <c r="N66" s="20"/>
    </row>
    <row r="67" spans="2:14" x14ac:dyDescent="0.2">
      <c r="B67" s="12">
        <f t="shared" si="15"/>
        <v>6</v>
      </c>
      <c r="C67" s="13">
        <f t="shared" si="11"/>
        <v>19.114203705710175</v>
      </c>
      <c r="D67" s="13">
        <f t="shared" si="12"/>
        <v>2.8642684865734225</v>
      </c>
      <c r="E67" s="257"/>
      <c r="F67" s="8"/>
      <c r="G67" s="12">
        <f t="shared" si="16"/>
        <v>6</v>
      </c>
      <c r="H67" s="13">
        <f t="shared" si="13"/>
        <v>-1.9998604598921617</v>
      </c>
      <c r="I67" s="13">
        <f t="shared" si="14"/>
        <v>2.2379341661572782</v>
      </c>
      <c r="J67" s="257"/>
      <c r="K67" s="20"/>
      <c r="N67" s="20"/>
    </row>
    <row r="68" spans="2:14" x14ac:dyDescent="0.2">
      <c r="B68" s="12">
        <f t="shared" si="15"/>
        <v>7</v>
      </c>
      <c r="C68" s="13">
        <f t="shared" si="11"/>
        <v>19.136821182679668</v>
      </c>
      <c r="D68" s="13">
        <f t="shared" si="12"/>
        <v>2.9895353506566513</v>
      </c>
      <c r="E68" s="257"/>
      <c r="F68" s="8"/>
      <c r="G68" s="12">
        <f t="shared" si="16"/>
        <v>7</v>
      </c>
      <c r="H68" s="13">
        <f t="shared" si="13"/>
        <v>-1.3998325518705941</v>
      </c>
      <c r="I68" s="13">
        <f t="shared" si="14"/>
        <v>2.2379341661572782</v>
      </c>
      <c r="J68" s="257"/>
      <c r="K68" s="20"/>
      <c r="N68" s="20"/>
    </row>
    <row r="69" spans="2:14" x14ac:dyDescent="0.2">
      <c r="B69" s="12">
        <f t="shared" si="15"/>
        <v>8</v>
      </c>
      <c r="C69" s="13">
        <f t="shared" si="11"/>
        <v>19.159438659649162</v>
      </c>
      <c r="D69" s="13">
        <f t="shared" si="12"/>
        <v>3.1148022147398802</v>
      </c>
      <c r="E69" s="257"/>
      <c r="F69" s="8"/>
      <c r="G69" s="12">
        <f t="shared" si="16"/>
        <v>8</v>
      </c>
      <c r="H69" s="13">
        <f t="shared" si="13"/>
        <v>-0.79980464384902639</v>
      </c>
      <c r="I69" s="13">
        <f t="shared" si="14"/>
        <v>2.2379341661572782</v>
      </c>
      <c r="J69" s="257"/>
      <c r="K69" s="20"/>
      <c r="N69" s="20"/>
    </row>
    <row r="70" spans="2:14" x14ac:dyDescent="0.2">
      <c r="B70" s="12">
        <f t="shared" si="15"/>
        <v>9</v>
      </c>
      <c r="C70" s="13">
        <f t="shared" si="11"/>
        <v>19.182056136618655</v>
      </c>
      <c r="D70" s="13">
        <f t="shared" si="12"/>
        <v>3.240069078823109</v>
      </c>
      <c r="E70" s="257"/>
      <c r="F70" s="8"/>
      <c r="G70" s="12">
        <f t="shared" si="16"/>
        <v>9</v>
      </c>
      <c r="H70" s="13">
        <f t="shared" si="13"/>
        <v>-0.1997767358274587</v>
      </c>
      <c r="I70" s="13">
        <f t="shared" si="14"/>
        <v>2.2379341661572782</v>
      </c>
      <c r="J70" s="257"/>
      <c r="K70" s="20"/>
      <c r="N70" s="20"/>
    </row>
    <row r="71" spans="2:14" x14ac:dyDescent="0.2">
      <c r="B71" s="12">
        <f t="shared" si="15"/>
        <v>10</v>
      </c>
      <c r="C71" s="13">
        <f t="shared" si="11"/>
        <v>19.204673613588149</v>
      </c>
      <c r="D71" s="13">
        <f t="shared" si="12"/>
        <v>3.3653359429063379</v>
      </c>
      <c r="E71" s="257"/>
      <c r="F71" s="8"/>
      <c r="G71" s="12">
        <f t="shared" si="16"/>
        <v>10</v>
      </c>
      <c r="H71" s="13">
        <f t="shared" si="13"/>
        <v>0.400251172194109</v>
      </c>
      <c r="I71" s="13">
        <f t="shared" si="14"/>
        <v>2.2379341661572782</v>
      </c>
      <c r="J71" s="257"/>
      <c r="K71" s="20"/>
      <c r="N71" s="20"/>
    </row>
    <row r="72" spans="2:14" x14ac:dyDescent="0.2">
      <c r="B72" s="12">
        <f t="shared" si="15"/>
        <v>11</v>
      </c>
      <c r="C72" s="13">
        <f t="shared" si="11"/>
        <v>19.227291090557642</v>
      </c>
      <c r="D72" s="13">
        <f t="shared" si="12"/>
        <v>3.4906028069895667</v>
      </c>
      <c r="E72" s="257"/>
      <c r="F72" s="8"/>
      <c r="G72" s="12">
        <f t="shared" si="16"/>
        <v>11</v>
      </c>
      <c r="H72" s="13">
        <f t="shared" si="13"/>
        <v>1.0002790802156767</v>
      </c>
      <c r="I72" s="13">
        <f t="shared" si="14"/>
        <v>2.2379341661572782</v>
      </c>
      <c r="J72" s="257"/>
      <c r="K72" s="20"/>
      <c r="N72" s="20"/>
    </row>
    <row r="73" spans="2:14" x14ac:dyDescent="0.2">
      <c r="B73" s="12">
        <f t="shared" si="15"/>
        <v>12</v>
      </c>
      <c r="C73" s="13">
        <f t="shared" si="11"/>
        <v>19.249908567527136</v>
      </c>
      <c r="D73" s="13">
        <f t="shared" si="12"/>
        <v>3.6158696710727956</v>
      </c>
      <c r="E73" s="257"/>
      <c r="F73" s="8"/>
      <c r="G73" s="12">
        <f t="shared" si="16"/>
        <v>12</v>
      </c>
      <c r="H73" s="13">
        <f t="shared" si="13"/>
        <v>1.6003069882372443</v>
      </c>
      <c r="I73" s="13">
        <f t="shared" si="14"/>
        <v>2.2379341661572782</v>
      </c>
      <c r="J73" s="257"/>
      <c r="K73" s="20"/>
      <c r="N73" s="20"/>
    </row>
    <row r="74" spans="2:14" x14ac:dyDescent="0.2">
      <c r="B74" s="12">
        <f t="shared" si="15"/>
        <v>13</v>
      </c>
      <c r="C74" s="13">
        <f t="shared" si="11"/>
        <v>19.27252604449663</v>
      </c>
      <c r="D74" s="13">
        <f t="shared" si="12"/>
        <v>3.7411365351560244</v>
      </c>
      <c r="E74" s="257"/>
      <c r="F74" s="8"/>
      <c r="G74" s="12">
        <f t="shared" si="16"/>
        <v>13</v>
      </c>
      <c r="H74" s="13">
        <f t="shared" si="13"/>
        <v>2.2003348962588118</v>
      </c>
      <c r="I74" s="13">
        <f t="shared" si="14"/>
        <v>2.2379341661572782</v>
      </c>
      <c r="J74" s="257"/>
      <c r="K74" s="20"/>
      <c r="N74" s="20"/>
    </row>
    <row r="75" spans="2:14" x14ac:dyDescent="0.2">
      <c r="B75" s="12">
        <f t="shared" si="15"/>
        <v>14</v>
      </c>
      <c r="C75" s="13">
        <f t="shared" si="11"/>
        <v>19.295143521466123</v>
      </c>
      <c r="D75" s="13">
        <f t="shared" si="12"/>
        <v>3.8664033992392532</v>
      </c>
      <c r="E75" s="257"/>
      <c r="F75" s="8"/>
      <c r="G75" s="12">
        <f t="shared" si="16"/>
        <v>14</v>
      </c>
      <c r="H75" s="13">
        <f t="shared" si="13"/>
        <v>2.8003628042803794</v>
      </c>
      <c r="I75" s="13">
        <f t="shared" si="14"/>
        <v>2.2379341661572782</v>
      </c>
      <c r="J75" s="257"/>
      <c r="K75" s="20"/>
      <c r="N75" s="20"/>
    </row>
    <row r="76" spans="2:14" x14ac:dyDescent="0.2">
      <c r="B76" s="12">
        <f t="shared" si="15"/>
        <v>15</v>
      </c>
      <c r="C76" s="13">
        <f t="shared" si="11"/>
        <v>19.317760998435617</v>
      </c>
      <c r="D76" s="13">
        <f t="shared" si="12"/>
        <v>3.9916702633224821</v>
      </c>
      <c r="E76" s="257"/>
      <c r="F76" s="8"/>
      <c r="G76" s="12">
        <f t="shared" si="16"/>
        <v>15</v>
      </c>
      <c r="H76" s="13">
        <f t="shared" si="13"/>
        <v>3.400390712301947</v>
      </c>
      <c r="I76" s="13">
        <f t="shared" si="14"/>
        <v>2.2379341661572782</v>
      </c>
      <c r="J76" s="257"/>
      <c r="K76" s="20"/>
      <c r="N76" s="20"/>
    </row>
    <row r="77" spans="2:14" x14ac:dyDescent="0.2">
      <c r="B77" s="12">
        <f t="shared" si="15"/>
        <v>16</v>
      </c>
      <c r="C77" s="13">
        <f t="shared" si="11"/>
        <v>19.34037847540511</v>
      </c>
      <c r="D77" s="13">
        <f t="shared" si="12"/>
        <v>4.1169371274057109</v>
      </c>
      <c r="E77" s="257"/>
      <c r="F77" s="8"/>
      <c r="G77" s="12">
        <f t="shared" si="16"/>
        <v>16</v>
      </c>
      <c r="H77" s="13">
        <f t="shared" si="13"/>
        <v>4.000418620323515</v>
      </c>
      <c r="I77" s="13">
        <f t="shared" si="14"/>
        <v>2.2379341661572782</v>
      </c>
      <c r="J77" s="257"/>
      <c r="K77" s="20"/>
      <c r="N77" s="20"/>
    </row>
    <row r="78" spans="2:14" x14ac:dyDescent="0.2">
      <c r="B78" s="12">
        <f t="shared" si="15"/>
        <v>17</v>
      </c>
      <c r="C78" s="13">
        <f t="shared" si="11"/>
        <v>19.362995952374604</v>
      </c>
      <c r="D78" s="13">
        <f t="shared" si="12"/>
        <v>4.2422039914889398</v>
      </c>
      <c r="E78" s="257"/>
      <c r="F78" s="8"/>
      <c r="G78" s="12">
        <f t="shared" si="16"/>
        <v>17</v>
      </c>
      <c r="H78" s="13">
        <f t="shared" si="13"/>
        <v>4.6004465283450831</v>
      </c>
      <c r="I78" s="13">
        <f t="shared" si="14"/>
        <v>2.2379341661572782</v>
      </c>
      <c r="J78" s="257"/>
      <c r="K78" s="20"/>
      <c r="N78" s="20"/>
    </row>
    <row r="79" spans="2:14" x14ac:dyDescent="0.2">
      <c r="B79" s="12">
        <f t="shared" si="15"/>
        <v>18</v>
      </c>
      <c r="C79" s="13">
        <f t="shared" si="11"/>
        <v>19.385613429344097</v>
      </c>
      <c r="D79" s="13">
        <f t="shared" si="12"/>
        <v>4.3674708555721686</v>
      </c>
      <c r="E79" s="257"/>
      <c r="F79" s="8"/>
      <c r="G79" s="12">
        <f t="shared" si="16"/>
        <v>18</v>
      </c>
      <c r="H79" s="13">
        <f t="shared" si="13"/>
        <v>5.2004744363666511</v>
      </c>
      <c r="I79" s="13">
        <f t="shared" si="14"/>
        <v>2.2379341661572782</v>
      </c>
      <c r="J79" s="257"/>
      <c r="K79" s="20"/>
      <c r="N79" s="20"/>
    </row>
    <row r="80" spans="2:14" x14ac:dyDescent="0.2">
      <c r="B80" s="12">
        <f t="shared" si="15"/>
        <v>19</v>
      </c>
      <c r="C80" s="13">
        <f t="shared" si="11"/>
        <v>19.408230906313591</v>
      </c>
      <c r="D80" s="13">
        <f t="shared" si="12"/>
        <v>4.4927377196553975</v>
      </c>
      <c r="E80" s="257"/>
      <c r="F80" s="8"/>
      <c r="G80" s="12">
        <f t="shared" si="16"/>
        <v>19</v>
      </c>
      <c r="H80" s="13">
        <f t="shared" si="13"/>
        <v>5.8005023443882191</v>
      </c>
      <c r="I80" s="13">
        <f t="shared" si="14"/>
        <v>2.2379341661572782</v>
      </c>
      <c r="J80" s="257"/>
      <c r="K80" s="20"/>
      <c r="N80" s="20"/>
    </row>
    <row r="81" spans="2:14" x14ac:dyDescent="0.2">
      <c r="B81" s="12">
        <f t="shared" si="15"/>
        <v>20</v>
      </c>
      <c r="C81" s="13">
        <f t="shared" si="11"/>
        <v>19.430848383283085</v>
      </c>
      <c r="D81" s="13">
        <f t="shared" si="12"/>
        <v>4.6180045837386263</v>
      </c>
      <c r="E81" s="257"/>
      <c r="F81" s="8"/>
      <c r="G81" s="12">
        <f t="shared" si="16"/>
        <v>20</v>
      </c>
      <c r="H81" s="13">
        <f t="shared" si="13"/>
        <v>6.4005302524097871</v>
      </c>
      <c r="I81" s="13">
        <f t="shared" si="14"/>
        <v>2.2379341661572782</v>
      </c>
      <c r="J81" s="257"/>
      <c r="K81" s="20"/>
      <c r="N81" s="20"/>
    </row>
    <row r="82" spans="2:14" x14ac:dyDescent="0.2">
      <c r="B82" s="12">
        <f t="shared" si="15"/>
        <v>21</v>
      </c>
      <c r="C82" s="13">
        <f t="shared" si="11"/>
        <v>19.453465860252578</v>
      </c>
      <c r="D82" s="13">
        <f t="shared" si="12"/>
        <v>4.7432714478218552</v>
      </c>
      <c r="E82" s="257"/>
      <c r="F82" s="8"/>
      <c r="G82" s="12">
        <f t="shared" si="16"/>
        <v>21</v>
      </c>
      <c r="H82" s="13">
        <f t="shared" si="13"/>
        <v>7.0005581604313551</v>
      </c>
      <c r="I82" s="13">
        <f t="shared" si="14"/>
        <v>2.2379341661572782</v>
      </c>
      <c r="J82" s="257"/>
      <c r="K82" s="20"/>
      <c r="N82" s="20"/>
    </row>
    <row r="83" spans="2:14" x14ac:dyDescent="0.2">
      <c r="B83" s="12">
        <f t="shared" si="15"/>
        <v>22</v>
      </c>
      <c r="C83" s="13">
        <f t="shared" si="11"/>
        <v>19.476083337222072</v>
      </c>
      <c r="D83" s="13">
        <f t="shared" si="12"/>
        <v>4.868538311905084</v>
      </c>
      <c r="E83" s="257"/>
      <c r="F83" s="8"/>
      <c r="G83" s="12">
        <f t="shared" si="16"/>
        <v>22</v>
      </c>
      <c r="H83" s="13">
        <f t="shared" si="13"/>
        <v>7.6005860684529232</v>
      </c>
      <c r="I83" s="13">
        <f t="shared" si="14"/>
        <v>2.2379341661572782</v>
      </c>
      <c r="J83" s="257"/>
      <c r="K83" s="20"/>
      <c r="N83" s="20"/>
    </row>
    <row r="84" spans="2:14" x14ac:dyDescent="0.2">
      <c r="B84" s="12">
        <f t="shared" si="15"/>
        <v>23</v>
      </c>
      <c r="C84" s="13">
        <f t="shared" si="11"/>
        <v>19.498700814191565</v>
      </c>
      <c r="D84" s="13">
        <f t="shared" si="12"/>
        <v>4.9938051759883129</v>
      </c>
      <c r="E84" s="257"/>
      <c r="G84" s="12">
        <f t="shared" si="16"/>
        <v>23</v>
      </c>
      <c r="H84" s="13">
        <f t="shared" si="13"/>
        <v>8.2006139764744912</v>
      </c>
      <c r="I84" s="13">
        <f t="shared" si="14"/>
        <v>2.2379341661572782</v>
      </c>
      <c r="J84" s="257"/>
    </row>
    <row r="85" spans="2:14" x14ac:dyDescent="0.2">
      <c r="B85" s="12">
        <f t="shared" si="15"/>
        <v>24</v>
      </c>
      <c r="C85" s="13">
        <f t="shared" si="11"/>
        <v>19.521318291161059</v>
      </c>
      <c r="D85" s="13">
        <f t="shared" si="12"/>
        <v>5.1190720400715417</v>
      </c>
      <c r="E85" s="257"/>
      <c r="G85" s="12">
        <f t="shared" si="16"/>
        <v>24</v>
      </c>
      <c r="H85" s="13">
        <f t="shared" si="13"/>
        <v>8.8006418844960592</v>
      </c>
      <c r="I85" s="13">
        <f t="shared" si="14"/>
        <v>2.2379341661572782</v>
      </c>
      <c r="J85" s="257"/>
    </row>
    <row r="86" spans="2:14" x14ac:dyDescent="0.2">
      <c r="B86" s="12">
        <f t="shared" si="15"/>
        <v>25</v>
      </c>
      <c r="C86" s="13">
        <f t="shared" si="11"/>
        <v>19.543935768130552</v>
      </c>
      <c r="D86" s="13">
        <f t="shared" si="12"/>
        <v>5.2443389041547706</v>
      </c>
      <c r="E86" s="257"/>
      <c r="G86" s="12">
        <f t="shared" si="16"/>
        <v>25</v>
      </c>
      <c r="H86" s="13">
        <f t="shared" si="13"/>
        <v>9.4006697925176272</v>
      </c>
      <c r="I86" s="13">
        <f t="shared" si="14"/>
        <v>2.2379341661572782</v>
      </c>
      <c r="J86" s="257"/>
    </row>
    <row r="87" spans="2:14" x14ac:dyDescent="0.2">
      <c r="B87" s="12">
        <f t="shared" si="15"/>
        <v>26</v>
      </c>
      <c r="C87" s="13">
        <f t="shared" si="11"/>
        <v>19.566553245100046</v>
      </c>
      <c r="D87" s="13">
        <f t="shared" si="12"/>
        <v>5.3696057682379994</v>
      </c>
      <c r="E87" s="257"/>
      <c r="G87" s="12">
        <f t="shared" si="16"/>
        <v>26</v>
      </c>
      <c r="H87" s="13">
        <f t="shared" si="13"/>
        <v>10.000697700539195</v>
      </c>
      <c r="I87" s="13">
        <f t="shared" si="14"/>
        <v>2.2379341661572782</v>
      </c>
      <c r="J87" s="257"/>
    </row>
    <row r="88" spans="2:14" x14ac:dyDescent="0.2">
      <c r="B88" s="12">
        <f t="shared" si="15"/>
        <v>27</v>
      </c>
      <c r="C88" s="13">
        <f t="shared" si="11"/>
        <v>19.589170722069539</v>
      </c>
      <c r="D88" s="13">
        <f t="shared" si="12"/>
        <v>5.4948726323212282</v>
      </c>
      <c r="E88" s="257"/>
      <c r="G88" s="12">
        <f t="shared" si="16"/>
        <v>27</v>
      </c>
      <c r="H88" s="13">
        <f t="shared" si="13"/>
        <v>10.600725608560763</v>
      </c>
      <c r="I88" s="13">
        <f t="shared" si="14"/>
        <v>2.2379341661572782</v>
      </c>
      <c r="J88" s="257"/>
    </row>
    <row r="89" spans="2:14" x14ac:dyDescent="0.2">
      <c r="B89" s="12">
        <f t="shared" si="15"/>
        <v>28</v>
      </c>
      <c r="C89" s="13">
        <f t="shared" si="11"/>
        <v>19.611788199039033</v>
      </c>
      <c r="D89" s="13">
        <f t="shared" si="12"/>
        <v>5.6201394964044571</v>
      </c>
      <c r="E89" s="257"/>
      <c r="G89" s="12">
        <f t="shared" si="16"/>
        <v>28</v>
      </c>
      <c r="H89" s="13">
        <f t="shared" si="13"/>
        <v>11.200753516582331</v>
      </c>
      <c r="I89" s="13">
        <f t="shared" si="14"/>
        <v>2.2379341661572782</v>
      </c>
      <c r="J89" s="257"/>
    </row>
    <row r="90" spans="2:14" x14ac:dyDescent="0.2">
      <c r="B90" s="12">
        <f t="shared" si="15"/>
        <v>29</v>
      </c>
      <c r="C90" s="13">
        <f t="shared" si="11"/>
        <v>19.634405676008527</v>
      </c>
      <c r="D90" s="13">
        <f t="shared" si="12"/>
        <v>5.7454063604876859</v>
      </c>
      <c r="E90" s="257"/>
      <c r="G90" s="12">
        <f t="shared" si="16"/>
        <v>29</v>
      </c>
      <c r="H90" s="13">
        <f t="shared" si="13"/>
        <v>11.800781424603899</v>
      </c>
      <c r="I90" s="13">
        <f t="shared" si="14"/>
        <v>2.2379341661572782</v>
      </c>
      <c r="J90" s="257"/>
    </row>
    <row r="91" spans="2:14" x14ac:dyDescent="0.2">
      <c r="B91" s="12">
        <f t="shared" si="15"/>
        <v>30</v>
      </c>
      <c r="C91" s="13">
        <f t="shared" si="11"/>
        <v>19.65702315297802</v>
      </c>
      <c r="D91" s="13">
        <f t="shared" si="12"/>
        <v>5.8706732245709148</v>
      </c>
      <c r="E91" s="257"/>
      <c r="G91" s="12">
        <f t="shared" si="16"/>
        <v>30</v>
      </c>
      <c r="H91" s="13">
        <f t="shared" si="13"/>
        <v>12.400809332625467</v>
      </c>
      <c r="I91" s="13">
        <f t="shared" si="14"/>
        <v>2.2379341661572782</v>
      </c>
      <c r="J91" s="257"/>
    </row>
    <row r="92" spans="2:14" x14ac:dyDescent="0.2">
      <c r="B92" s="12">
        <f t="shared" si="15"/>
        <v>31</v>
      </c>
      <c r="C92" s="13">
        <f t="shared" si="11"/>
        <v>19.679640629947514</v>
      </c>
      <c r="D92" s="13">
        <f t="shared" si="12"/>
        <v>5.9959400886541436</v>
      </c>
      <c r="E92" s="257"/>
      <c r="G92" s="12">
        <f t="shared" si="16"/>
        <v>31</v>
      </c>
      <c r="H92" s="13">
        <f t="shared" si="13"/>
        <v>13.000837240647035</v>
      </c>
      <c r="I92" s="13">
        <f t="shared" si="14"/>
        <v>2.2379341661572782</v>
      </c>
      <c r="J92" s="257"/>
    </row>
    <row r="93" spans="2:14" x14ac:dyDescent="0.2">
      <c r="B93" s="12">
        <f t="shared" si="15"/>
        <v>32</v>
      </c>
      <c r="C93" s="13">
        <f t="shared" si="11"/>
        <v>19.702258106917007</v>
      </c>
      <c r="D93" s="13">
        <f t="shared" si="12"/>
        <v>6.1212069527373725</v>
      </c>
      <c r="E93" s="257"/>
      <c r="G93" s="12">
        <f t="shared" si="16"/>
        <v>32</v>
      </c>
      <c r="H93" s="13">
        <f t="shared" si="13"/>
        <v>13.600865148668603</v>
      </c>
      <c r="I93" s="13">
        <f t="shared" si="14"/>
        <v>2.2379341661572782</v>
      </c>
      <c r="J93" s="257"/>
    </row>
    <row r="94" spans="2:14" x14ac:dyDescent="0.2">
      <c r="B94" s="12">
        <f t="shared" si="15"/>
        <v>33</v>
      </c>
      <c r="C94" s="13">
        <f t="shared" si="11"/>
        <v>19.724875583886501</v>
      </c>
      <c r="D94" s="13">
        <f t="shared" si="12"/>
        <v>6.2464738168206013</v>
      </c>
      <c r="E94" s="257"/>
      <c r="G94" s="12">
        <f t="shared" si="16"/>
        <v>33</v>
      </c>
      <c r="H94" s="13">
        <f t="shared" si="13"/>
        <v>14.200893056690171</v>
      </c>
      <c r="I94" s="13">
        <f t="shared" si="14"/>
        <v>2.2379341661572782</v>
      </c>
      <c r="J94" s="257"/>
    </row>
    <row r="95" spans="2:14" x14ac:dyDescent="0.2">
      <c r="B95" s="12">
        <f t="shared" si="15"/>
        <v>34</v>
      </c>
      <c r="C95" s="13">
        <f t="shared" si="11"/>
        <v>19.747493060855994</v>
      </c>
      <c r="D95" s="13">
        <f t="shared" si="12"/>
        <v>6.3717406809038302</v>
      </c>
      <c r="E95" s="257"/>
      <c r="G95" s="12">
        <f t="shared" si="16"/>
        <v>34</v>
      </c>
      <c r="H95" s="13">
        <f t="shared" si="13"/>
        <v>14.800920964711739</v>
      </c>
      <c r="I95" s="13">
        <f t="shared" si="14"/>
        <v>2.2379341661572782</v>
      </c>
      <c r="J95" s="257"/>
    </row>
    <row r="96" spans="2:14" x14ac:dyDescent="0.2">
      <c r="B96" s="12">
        <f t="shared" si="15"/>
        <v>35</v>
      </c>
      <c r="C96" s="13">
        <f t="shared" si="11"/>
        <v>19.770110537825488</v>
      </c>
      <c r="D96" s="13">
        <f t="shared" si="12"/>
        <v>6.497007544987059</v>
      </c>
      <c r="E96" s="257"/>
      <c r="G96" s="12">
        <f t="shared" si="16"/>
        <v>35</v>
      </c>
      <c r="H96" s="13">
        <f t="shared" si="13"/>
        <v>15.400948872733307</v>
      </c>
      <c r="I96" s="13">
        <f t="shared" si="14"/>
        <v>2.2379341661572782</v>
      </c>
      <c r="J96" s="257"/>
    </row>
    <row r="97" spans="2:10" x14ac:dyDescent="0.2">
      <c r="B97" s="12">
        <f t="shared" si="15"/>
        <v>36</v>
      </c>
      <c r="C97" s="13">
        <f t="shared" si="11"/>
        <v>19.792728014794982</v>
      </c>
      <c r="D97" s="13">
        <f t="shared" si="12"/>
        <v>6.6222744090702879</v>
      </c>
      <c r="E97" s="257"/>
      <c r="G97" s="12">
        <f t="shared" si="16"/>
        <v>36</v>
      </c>
      <c r="H97" s="13">
        <f t="shared" si="13"/>
        <v>16.000976780754876</v>
      </c>
      <c r="I97" s="13">
        <f t="shared" si="14"/>
        <v>2.2379341661572782</v>
      </c>
      <c r="J97" s="257"/>
    </row>
    <row r="98" spans="2:10" x14ac:dyDescent="0.2">
      <c r="B98" s="12">
        <f t="shared" si="15"/>
        <v>37</v>
      </c>
      <c r="C98" s="13">
        <f t="shared" si="11"/>
        <v>19.815345491764475</v>
      </c>
      <c r="D98" s="13">
        <f t="shared" si="12"/>
        <v>6.7475412731535167</v>
      </c>
      <c r="E98" s="257"/>
      <c r="G98" s="12">
        <f t="shared" si="16"/>
        <v>37</v>
      </c>
      <c r="H98" s="13">
        <f t="shared" si="13"/>
        <v>16.601004688776442</v>
      </c>
      <c r="I98" s="13">
        <f t="shared" si="14"/>
        <v>2.2379341661572782</v>
      </c>
      <c r="J98" s="257"/>
    </row>
    <row r="99" spans="2:10" x14ac:dyDescent="0.2">
      <c r="B99" s="12">
        <f t="shared" si="15"/>
        <v>38</v>
      </c>
      <c r="C99" s="13">
        <f t="shared" si="11"/>
        <v>19.837962968733969</v>
      </c>
      <c r="D99" s="13">
        <f t="shared" si="12"/>
        <v>6.8728081372367456</v>
      </c>
      <c r="E99" s="257"/>
      <c r="G99" s="12">
        <f t="shared" si="16"/>
        <v>38</v>
      </c>
      <c r="H99" s="13">
        <f t="shared" si="13"/>
        <v>17.201032596798008</v>
      </c>
      <c r="I99" s="13">
        <f t="shared" si="14"/>
        <v>2.2379341661572782</v>
      </c>
      <c r="J99" s="257"/>
    </row>
    <row r="100" spans="2:10" x14ac:dyDescent="0.2">
      <c r="B100" s="12">
        <f t="shared" si="15"/>
        <v>39</v>
      </c>
      <c r="C100" s="13">
        <f t="shared" si="11"/>
        <v>19.860580445703462</v>
      </c>
      <c r="D100" s="13">
        <f t="shared" si="12"/>
        <v>6.9980750013199744</v>
      </c>
      <c r="E100" s="257"/>
      <c r="G100" s="12">
        <f t="shared" si="16"/>
        <v>39</v>
      </c>
      <c r="H100" s="13">
        <f t="shared" si="13"/>
        <v>17.801060504819574</v>
      </c>
      <c r="I100" s="13">
        <f t="shared" si="14"/>
        <v>2.2379341661572782</v>
      </c>
      <c r="J100" s="257"/>
    </row>
    <row r="101" spans="2:10" x14ac:dyDescent="0.2">
      <c r="B101" s="12">
        <f t="shared" si="15"/>
        <v>40</v>
      </c>
      <c r="C101" s="13">
        <f t="shared" si="11"/>
        <v>19.883197922672956</v>
      </c>
      <c r="D101" s="13">
        <f t="shared" si="12"/>
        <v>7.1233418654032032</v>
      </c>
      <c r="E101" s="257"/>
      <c r="G101" s="12">
        <f t="shared" si="16"/>
        <v>40</v>
      </c>
      <c r="H101" s="13">
        <f t="shared" si="13"/>
        <v>18.40108841284114</v>
      </c>
      <c r="I101" s="13">
        <f t="shared" si="14"/>
        <v>2.2379341661572782</v>
      </c>
      <c r="J101" s="257"/>
    </row>
    <row r="102" spans="2:10" x14ac:dyDescent="0.2">
      <c r="B102" s="14">
        <f t="shared" si="15"/>
        <v>41</v>
      </c>
      <c r="C102" s="15">
        <f>E57</f>
        <v>19.905815399642382</v>
      </c>
      <c r="D102" s="15">
        <f>E58</f>
        <v>7.2486087294864303</v>
      </c>
      <c r="E102" s="259"/>
      <c r="G102" s="14">
        <f t="shared" si="16"/>
        <v>41</v>
      </c>
      <c r="H102" s="15">
        <f>J57</f>
        <v>19.001116320862707</v>
      </c>
      <c r="I102" s="15">
        <f>J58</f>
        <v>2.2379341661572782</v>
      </c>
      <c r="J102" s="259"/>
    </row>
  </sheetData>
  <sheetProtection selectLockedCells="1" selectUnlockedCells="1"/>
  <mergeCells count="2">
    <mergeCell ref="A1:B1"/>
    <mergeCell ref="C1:E1"/>
  </mergeCells>
  <phoneticPr fontId="4"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oglio1" enableFormatConditionsCalculation="0">
    <tabColor rgb="FF92D050"/>
  </sheetPr>
  <dimension ref="A1:IV704"/>
  <sheetViews>
    <sheetView showGridLines="0" tabSelected="1" topLeftCell="A10" zoomScale="90" zoomScaleNormal="90" workbookViewId="0">
      <selection activeCell="E37" sqref="E37"/>
    </sheetView>
  </sheetViews>
  <sheetFormatPr defaultColWidth="8.85546875" defaultRowHeight="12.75" x14ac:dyDescent="0.2"/>
  <cols>
    <col min="1" max="1" width="8.7109375" style="2" customWidth="1"/>
    <col min="2" max="2" width="2.85546875" style="2" customWidth="1"/>
    <col min="3" max="3" width="12.28515625" style="2" customWidth="1"/>
    <col min="4" max="4" width="25.28515625" style="2" customWidth="1"/>
    <col min="5" max="5" width="15.85546875" style="2" customWidth="1"/>
    <col min="6" max="7" width="9.85546875" style="2" customWidth="1"/>
    <col min="8" max="8" width="11" style="2" customWidth="1"/>
    <col min="9" max="9" width="15.28515625" style="2" customWidth="1"/>
    <col min="10" max="10" width="10.5703125" style="2" customWidth="1"/>
    <col min="11" max="11" width="9.28515625" style="2" customWidth="1"/>
    <col min="12" max="13" width="9.140625" style="38" customWidth="1"/>
    <col min="14" max="14" width="9.140625" style="392" customWidth="1"/>
    <col min="15" max="15" width="23.7109375" style="392" customWidth="1"/>
    <col min="16" max="18" width="9.140625" style="448" hidden="1" customWidth="1"/>
    <col min="19" max="20" width="9" style="448" hidden="1" customWidth="1"/>
    <col min="21" max="21" width="16.85546875" style="45" hidden="1" customWidth="1"/>
    <col min="22" max="37" width="13" style="45" hidden="1" customWidth="1"/>
    <col min="38" max="38" width="14.85546875" style="45" hidden="1" customWidth="1"/>
    <col min="39" max="42" width="13" style="45" hidden="1" customWidth="1"/>
    <col min="43" max="53" width="9" style="45" hidden="1" customWidth="1"/>
    <col min="54" max="55" width="9" style="445" hidden="1" customWidth="1"/>
    <col min="56" max="56" width="12.28515625" style="445" hidden="1" customWidth="1"/>
    <col min="57" max="57" width="11.140625" style="445" hidden="1" customWidth="1"/>
    <col min="58" max="65" width="9" style="445" hidden="1" customWidth="1"/>
    <col min="66" max="66" width="10.28515625" style="445" hidden="1" customWidth="1"/>
    <col min="67" max="67" width="9" style="445" hidden="1" customWidth="1"/>
    <col min="68" max="68" width="16.28515625" style="445" hidden="1" customWidth="1"/>
    <col min="69" max="130" width="9" style="445" hidden="1" customWidth="1"/>
    <col min="131" max="143" width="9" style="449" hidden="1" customWidth="1"/>
    <col min="144" max="152" width="9" style="449" customWidth="1"/>
    <col min="153" max="200" width="8.85546875" style="449" customWidth="1"/>
    <col min="201" max="16384" width="8.85546875" style="449"/>
  </cols>
  <sheetData>
    <row r="1" ht="18" customHeight="1" x14ac:dyDescent="0.2"/>
    <row r="2" ht="18" customHeight="1" x14ac:dyDescent="0.2"/>
    <row r="3" ht="18" customHeight="1" x14ac:dyDescent="0.2"/>
    <row r="4" ht="18" customHeight="1" x14ac:dyDescent="0.2"/>
    <row r="5" ht="18" customHeight="1" x14ac:dyDescent="0.2"/>
    <row r="6" ht="18" customHeight="1" x14ac:dyDescent="0.2"/>
    <row r="7" ht="18" customHeight="1" x14ac:dyDescent="0.2"/>
    <row r="8" ht="18" customHeight="1" x14ac:dyDescent="0.2"/>
    <row r="9" ht="18" customHeight="1" x14ac:dyDescent="0.2"/>
    <row r="10" ht="18" customHeight="1" x14ac:dyDescent="0.2"/>
    <row r="11" ht="18" customHeight="1" x14ac:dyDescent="0.2"/>
    <row r="12" ht="18" customHeight="1" x14ac:dyDescent="0.2"/>
    <row r="13" ht="18" customHeight="1" x14ac:dyDescent="0.2"/>
    <row r="14" ht="18" customHeight="1" x14ac:dyDescent="0.2"/>
    <row r="15" ht="18" customHeight="1" x14ac:dyDescent="0.2"/>
    <row r="16" ht="18" customHeight="1" x14ac:dyDescent="0.2"/>
    <row r="17" spans="1:29" ht="18" customHeight="1" x14ac:dyDescent="0.2"/>
    <row r="18" spans="1:29" ht="18" hidden="1" customHeight="1" x14ac:dyDescent="0.3">
      <c r="C18" s="59"/>
      <c r="D18" s="1"/>
      <c r="E18" s="1"/>
      <c r="F18" s="7"/>
      <c r="G18" s="107"/>
      <c r="H18" s="108"/>
      <c r="I18" s="108"/>
      <c r="J18" s="108"/>
    </row>
    <row r="19" spans="1:29" ht="18" hidden="1" customHeight="1" x14ac:dyDescent="0.3">
      <c r="C19" s="51"/>
      <c r="D19" s="5"/>
      <c r="E19" s="5"/>
      <c r="F19" s="52"/>
      <c r="G19" s="109"/>
      <c r="H19" s="108"/>
      <c r="I19" s="108"/>
      <c r="J19" s="108"/>
    </row>
    <row r="20" spans="1:29" ht="18" hidden="1" customHeight="1" x14ac:dyDescent="0.3">
      <c r="C20" s="51"/>
      <c r="D20" s="5"/>
      <c r="E20" s="5"/>
      <c r="F20" s="52"/>
      <c r="G20" s="109"/>
      <c r="H20" s="108"/>
      <c r="I20" s="108"/>
      <c r="J20" s="108"/>
    </row>
    <row r="21" spans="1:29" ht="18" hidden="1" customHeight="1" x14ac:dyDescent="0.3">
      <c r="C21" s="51"/>
      <c r="D21" s="5"/>
      <c r="E21" s="5"/>
      <c r="F21" s="52"/>
      <c r="G21" s="109"/>
      <c r="H21" s="108"/>
      <c r="I21" s="108"/>
      <c r="J21" s="108"/>
    </row>
    <row r="22" spans="1:29" ht="18" hidden="1" customHeight="1" x14ac:dyDescent="0.3">
      <c r="C22" s="51"/>
      <c r="D22" s="5"/>
      <c r="E22" s="5"/>
      <c r="F22" s="52"/>
      <c r="G22" s="109"/>
      <c r="H22" s="108"/>
      <c r="I22" s="108"/>
      <c r="J22" s="108"/>
    </row>
    <row r="23" spans="1:29" ht="18" hidden="1" customHeight="1" x14ac:dyDescent="0.3">
      <c r="C23" s="51"/>
      <c r="D23" s="5"/>
      <c r="E23" s="5"/>
      <c r="F23" s="52"/>
      <c r="G23" s="109"/>
      <c r="H23" s="108"/>
      <c r="I23" s="108"/>
      <c r="J23" s="108"/>
    </row>
    <row r="24" spans="1:29" ht="20.25" hidden="1" x14ac:dyDescent="0.3">
      <c r="C24" s="51"/>
      <c r="D24" s="5"/>
      <c r="E24" s="5"/>
      <c r="F24" s="52"/>
      <c r="G24" s="109"/>
      <c r="H24" s="108"/>
      <c r="I24" s="108"/>
      <c r="J24" s="108"/>
    </row>
    <row r="25" spans="1:29" ht="20.25" hidden="1" x14ac:dyDescent="0.3">
      <c r="C25" s="51"/>
      <c r="D25" s="5"/>
      <c r="E25" s="5"/>
      <c r="F25" s="52"/>
      <c r="G25" s="109"/>
      <c r="H25" s="108"/>
      <c r="I25" s="108"/>
      <c r="J25" s="108"/>
    </row>
    <row r="26" spans="1:29" ht="16.149999999999999" customHeight="1" x14ac:dyDescent="0.25">
      <c r="A26" s="41"/>
      <c r="B26" s="41" t="s">
        <v>1238</v>
      </c>
      <c r="C26" s="131"/>
      <c r="D26" s="54"/>
      <c r="E26" s="132" t="s">
        <v>1236</v>
      </c>
      <c r="F26" s="133"/>
      <c r="G26" s="134"/>
      <c r="H26" s="135"/>
      <c r="I26" s="135"/>
      <c r="J26" s="135"/>
      <c r="K26" s="41"/>
      <c r="L26" s="136"/>
      <c r="M26" s="136"/>
      <c r="N26" s="393"/>
      <c r="O26" s="393"/>
    </row>
    <row r="27" spans="1:29" x14ac:dyDescent="0.2">
      <c r="A27" s="41"/>
      <c r="B27" s="41"/>
      <c r="C27" s="41"/>
      <c r="D27" s="41"/>
      <c r="E27" s="41"/>
      <c r="F27" s="41"/>
      <c r="G27" s="41"/>
      <c r="H27" s="41"/>
      <c r="I27" s="41"/>
      <c r="J27" s="41"/>
      <c r="K27" s="41"/>
      <c r="L27" s="136"/>
      <c r="M27" s="136"/>
      <c r="N27" s="393"/>
      <c r="O27" s="393"/>
      <c r="U27" s="450" t="s">
        <v>862</v>
      </c>
      <c r="V27" s="450">
        <f>GRAFICI!E8</f>
        <v>273.14999999999998</v>
      </c>
      <c r="W27" s="32"/>
      <c r="X27" s="32"/>
      <c r="Y27" s="32"/>
      <c r="Z27" s="32"/>
      <c r="AA27" s="451"/>
      <c r="AB27" s="451"/>
      <c r="AC27" s="32"/>
    </row>
    <row r="28" spans="1:29" x14ac:dyDescent="0.2">
      <c r="A28" s="41"/>
      <c r="B28" s="137" t="str">
        <f>LINGUA!B3</f>
        <v>INSTRUCTIONS: insert input data in grey cells. Results appear in green cells.</v>
      </c>
      <c r="C28" s="41"/>
      <c r="D28" s="137"/>
      <c r="E28" s="41"/>
      <c r="F28" s="41"/>
      <c r="G28" s="41"/>
      <c r="H28" s="41"/>
      <c r="I28" s="41"/>
      <c r="J28" s="41"/>
      <c r="K28" s="41"/>
      <c r="L28" s="136"/>
      <c r="M28" s="136"/>
      <c r="N28" s="393"/>
      <c r="O28" s="393"/>
      <c r="U28" s="450" t="s">
        <v>863</v>
      </c>
      <c r="V28" s="450">
        <f>GRAFICI!E2</f>
        <v>1.006</v>
      </c>
      <c r="W28" s="32"/>
      <c r="X28" s="32"/>
      <c r="Y28" s="32"/>
      <c r="Z28" s="32"/>
      <c r="AA28" s="115" t="str">
        <f>E26</f>
        <v>ENGLISH</v>
      </c>
      <c r="AB28" s="115"/>
      <c r="AC28" s="32"/>
    </row>
    <row r="29" spans="1:29" x14ac:dyDescent="0.2">
      <c r="A29" s="41"/>
      <c r="B29" s="137"/>
      <c r="C29" s="41"/>
      <c r="D29" s="137"/>
      <c r="E29" s="41"/>
      <c r="F29" s="41"/>
      <c r="G29" s="41"/>
      <c r="H29" s="41"/>
      <c r="I29" s="41"/>
      <c r="J29" s="41"/>
      <c r="K29" s="41"/>
      <c r="L29" s="136"/>
      <c r="M29" s="136"/>
      <c r="N29" s="393"/>
      <c r="O29" s="393"/>
      <c r="U29" s="450" t="s">
        <v>864</v>
      </c>
      <c r="V29" s="450">
        <f>GRAFICI!E3</f>
        <v>1.8049999999999999</v>
      </c>
      <c r="W29" s="32"/>
      <c r="X29" s="32"/>
      <c r="Y29" s="32"/>
      <c r="Z29" s="32"/>
      <c r="AA29" s="32"/>
      <c r="AB29" s="32"/>
      <c r="AC29" s="32"/>
    </row>
    <row r="30" spans="1:29" ht="25.9" customHeight="1" x14ac:dyDescent="0.2">
      <c r="A30" s="41"/>
      <c r="B30" s="130" t="str">
        <f>LINGUA!B53</f>
        <v>STEP 1</v>
      </c>
      <c r="C30" s="41"/>
      <c r="D30" s="137"/>
      <c r="E30" s="41"/>
      <c r="F30" s="41"/>
      <c r="G30" s="41"/>
      <c r="H30" s="41"/>
      <c r="I30" s="41"/>
      <c r="J30" s="41"/>
      <c r="K30" s="41"/>
      <c r="L30" s="136"/>
      <c r="M30" s="136"/>
      <c r="N30" s="393"/>
      <c r="O30" s="393"/>
      <c r="U30" s="450" t="s">
        <v>865</v>
      </c>
      <c r="V30" s="450">
        <f>GRAFICI!E4</f>
        <v>2501</v>
      </c>
      <c r="W30" s="32"/>
      <c r="X30" s="32"/>
      <c r="Y30" s="32"/>
      <c r="Z30" s="32"/>
      <c r="AA30" s="32"/>
      <c r="AB30" s="32"/>
      <c r="AC30" s="32"/>
    </row>
    <row r="31" spans="1:29" x14ac:dyDescent="0.2">
      <c r="A31" s="41"/>
      <c r="B31" s="137"/>
      <c r="C31" s="41"/>
      <c r="D31" s="137"/>
      <c r="E31" s="41"/>
      <c r="F31" s="41"/>
      <c r="G31" s="41"/>
      <c r="H31" s="41"/>
      <c r="I31" s="41"/>
      <c r="J31" s="41"/>
      <c r="K31" s="41"/>
      <c r="L31" s="136"/>
      <c r="M31" s="136"/>
      <c r="N31" s="393"/>
      <c r="O31" s="393"/>
      <c r="U31" s="450" t="s">
        <v>866</v>
      </c>
      <c r="V31" s="450">
        <f>GRAFICI!E5</f>
        <v>8313.6</v>
      </c>
      <c r="W31" s="32"/>
      <c r="X31" s="32"/>
      <c r="Y31" s="32"/>
      <c r="Z31" s="32"/>
      <c r="AA31" s="32"/>
      <c r="AB31" s="32"/>
    </row>
    <row r="32" spans="1:29" x14ac:dyDescent="0.2">
      <c r="A32" s="41"/>
      <c r="B32" s="41"/>
      <c r="C32" s="41"/>
      <c r="D32" s="41"/>
      <c r="E32" s="41"/>
      <c r="F32" s="41"/>
      <c r="G32" s="41"/>
      <c r="H32" s="41"/>
      <c r="I32" s="41"/>
      <c r="J32" s="41"/>
      <c r="K32" s="41"/>
      <c r="L32" s="136"/>
      <c r="M32" s="136"/>
      <c r="N32" s="393"/>
      <c r="O32" s="393"/>
      <c r="U32" s="450" t="s">
        <v>873</v>
      </c>
      <c r="V32" s="450">
        <f>GRAFICI!E7</f>
        <v>1.004</v>
      </c>
      <c r="W32" s="32"/>
      <c r="X32" s="32"/>
      <c r="Y32" s="32"/>
      <c r="Z32" s="32"/>
      <c r="AA32" s="32"/>
      <c r="AB32" s="32"/>
    </row>
    <row r="33" spans="1:256" x14ac:dyDescent="0.2">
      <c r="A33" s="41"/>
      <c r="B33" s="41"/>
      <c r="C33" s="41" t="str">
        <f>LINGUA!B4</f>
        <v>Altitude a.s.l.</v>
      </c>
      <c r="D33" s="41"/>
      <c r="E33" s="138">
        <v>0</v>
      </c>
      <c r="F33" s="139" t="str">
        <f>LINGUA!B8</f>
        <v>m</v>
      </c>
      <c r="G33" s="140" t="str">
        <f>IF(OR(E33&lt;-300,E33&gt;3000),LINGUA!B5,"")</f>
        <v/>
      </c>
      <c r="H33" s="41"/>
      <c r="I33" s="41"/>
      <c r="J33" s="42"/>
      <c r="K33" s="41"/>
      <c r="L33" s="136"/>
      <c r="M33" s="136"/>
      <c r="N33" s="393"/>
      <c r="O33" s="393"/>
      <c r="U33" s="450">
        <f>GRAFICI!A2</f>
        <v>-5674.3590000000004</v>
      </c>
      <c r="V33" s="450">
        <f>GRAFICI!B2</f>
        <v>-5800.2205999999996</v>
      </c>
      <c r="W33" s="32"/>
      <c r="X33" s="32"/>
      <c r="Y33" s="32"/>
      <c r="Z33" s="32"/>
      <c r="AA33" s="32"/>
      <c r="AB33" s="32"/>
    </row>
    <row r="34" spans="1:256" x14ac:dyDescent="0.2">
      <c r="A34" s="41"/>
      <c r="B34" s="41"/>
      <c r="C34" s="41"/>
      <c r="D34" s="41"/>
      <c r="E34" s="41"/>
      <c r="F34" s="41"/>
      <c r="G34" s="41"/>
      <c r="H34" s="41"/>
      <c r="I34" s="41"/>
      <c r="J34" s="41"/>
      <c r="K34" s="41"/>
      <c r="L34" s="136"/>
      <c r="M34" s="136"/>
      <c r="N34" s="393"/>
      <c r="O34" s="393"/>
      <c r="U34" s="450">
        <f>GRAFICI!A3</f>
        <v>6.3925247000000001</v>
      </c>
      <c r="V34" s="450">
        <f>GRAFICI!B3</f>
        <v>1.3914993</v>
      </c>
      <c r="W34" s="32"/>
      <c r="X34" s="32"/>
      <c r="Y34" s="32"/>
      <c r="Z34" s="32"/>
      <c r="AA34" s="32"/>
      <c r="AB34" s="32"/>
    </row>
    <row r="35" spans="1:256" ht="22.15" customHeight="1" x14ac:dyDescent="0.2">
      <c r="A35" s="141"/>
      <c r="B35" s="142"/>
      <c r="C35" s="143" t="str">
        <f>LINGUA!B6</f>
        <v>External Air</v>
      </c>
      <c r="D35" s="144"/>
      <c r="E35" s="144"/>
      <c r="F35" s="144"/>
      <c r="G35" s="144"/>
      <c r="H35" s="144"/>
      <c r="I35" s="144"/>
      <c r="J35" s="144"/>
      <c r="K35" s="145"/>
      <c r="L35" s="146"/>
      <c r="M35" s="146"/>
      <c r="N35" s="393"/>
      <c r="O35" s="393"/>
      <c r="U35" s="450">
        <f>GRAFICI!A4</f>
        <v>-9.6778430000000002E-3</v>
      </c>
      <c r="V35" s="450">
        <f>GRAFICI!B4</f>
        <v>-4.8640239000000002E-2</v>
      </c>
      <c r="W35" s="32"/>
      <c r="X35" s="32"/>
      <c r="Y35" s="32"/>
      <c r="Z35" s="32"/>
      <c r="AA35" s="32"/>
      <c r="AB35" s="32"/>
    </row>
    <row r="36" spans="1:256" x14ac:dyDescent="0.2">
      <c r="A36" s="41"/>
      <c r="B36" s="147"/>
      <c r="C36" s="148" t="str">
        <f>LINGUA!B9</f>
        <v>Relative humidity</v>
      </c>
      <c r="D36" s="149"/>
      <c r="E36" s="150">
        <v>0.9</v>
      </c>
      <c r="F36" s="151" t="str">
        <f>LINGUA!K12</f>
        <v>rH</v>
      </c>
      <c r="G36" s="149"/>
      <c r="H36" s="148" t="str">
        <f>LINGUA!B11</f>
        <v>Specific humidity</v>
      </c>
      <c r="I36" s="149"/>
      <c r="J36" s="634">
        <f>IF(G33="",W45,0)</f>
        <v>2.2379341661572782</v>
      </c>
      <c r="K36" s="152" t="str">
        <f>LINGUA!K4</f>
        <v>g/kg</v>
      </c>
      <c r="L36" s="41"/>
      <c r="M36" s="136"/>
      <c r="N36" s="393"/>
      <c r="O36" s="393"/>
      <c r="U36" s="450">
        <f>GRAFICI!A5</f>
        <v>6.2215700999999996E-7</v>
      </c>
      <c r="V36" s="450">
        <f>GRAFICI!B5</f>
        <v>4.1764768000000003E-5</v>
      </c>
      <c r="W36" s="32"/>
      <c r="X36" s="32"/>
      <c r="Y36" s="32"/>
      <c r="Z36" s="32"/>
      <c r="AA36" s="32"/>
      <c r="AB36" s="32"/>
    </row>
    <row r="37" spans="1:256" ht="13.15" customHeight="1" x14ac:dyDescent="0.2">
      <c r="A37" s="41"/>
      <c r="B37" s="147"/>
      <c r="C37" s="148" t="str">
        <f>LINGUA!B10</f>
        <v>Temperature</v>
      </c>
      <c r="D37" s="149"/>
      <c r="E37" s="153">
        <v>-5</v>
      </c>
      <c r="F37" s="151" t="str">
        <f>LINGUA!K6</f>
        <v>°C</v>
      </c>
      <c r="G37" s="149"/>
      <c r="H37" s="149"/>
      <c r="I37" s="149"/>
      <c r="J37" s="149"/>
      <c r="K37" s="154"/>
      <c r="L37" s="136"/>
      <c r="M37" s="136"/>
      <c r="N37" s="393"/>
      <c r="O37" s="393"/>
      <c r="U37" s="450">
        <f>GRAFICI!A6</f>
        <v>2.0747825000000001E-9</v>
      </c>
      <c r="V37" s="450">
        <f>GRAFICI!B6</f>
        <v>-1.4452092999999999E-8</v>
      </c>
      <c r="W37" s="32"/>
      <c r="X37" s="32"/>
      <c r="Y37" s="32"/>
      <c r="Z37" s="32"/>
      <c r="AA37" s="32"/>
      <c r="AB37" s="32"/>
    </row>
    <row r="38" spans="1:256" x14ac:dyDescent="0.2">
      <c r="A38" s="41"/>
      <c r="B38" s="155"/>
      <c r="C38" s="156"/>
      <c r="D38" s="156"/>
      <c r="E38" s="156"/>
      <c r="F38" s="156"/>
      <c r="G38" s="156"/>
      <c r="H38" s="156"/>
      <c r="I38" s="156"/>
      <c r="J38" s="156"/>
      <c r="K38" s="157"/>
      <c r="L38" s="136"/>
      <c r="M38" s="136"/>
      <c r="N38" s="393"/>
      <c r="O38" s="393"/>
      <c r="U38" s="450">
        <f>GRAFICI!A7</f>
        <v>-9.4840240000000005E-13</v>
      </c>
      <c r="V38" s="450">
        <f>GRAFICI!B7</f>
        <v>0</v>
      </c>
      <c r="W38" s="32"/>
      <c r="X38" s="32"/>
      <c r="Y38" s="32"/>
      <c r="Z38" s="32"/>
      <c r="AA38" s="32"/>
      <c r="AB38" s="32"/>
    </row>
    <row r="39" spans="1:256" x14ac:dyDescent="0.2">
      <c r="A39" s="41"/>
      <c r="B39" s="158"/>
      <c r="C39" s="41"/>
      <c r="D39" s="41"/>
      <c r="E39" s="41"/>
      <c r="F39" s="41"/>
      <c r="G39" s="41"/>
      <c r="H39" s="41"/>
      <c r="I39" s="41"/>
      <c r="J39" s="41"/>
      <c r="K39" s="41"/>
      <c r="L39" s="136"/>
      <c r="M39" s="136"/>
      <c r="N39" s="393"/>
      <c r="O39" s="393"/>
      <c r="U39" s="450">
        <f>GRAFICI!A8</f>
        <v>4.1635019</v>
      </c>
      <c r="V39" s="450">
        <f>GRAFICI!B8</f>
        <v>6.5459673</v>
      </c>
      <c r="W39" s="32"/>
      <c r="X39" s="32"/>
      <c r="Y39" s="32"/>
      <c r="Z39" s="32"/>
      <c r="AA39" s="32"/>
      <c r="AB39" s="32"/>
    </row>
    <row r="40" spans="1:256" ht="22.9" customHeight="1" x14ac:dyDescent="0.2">
      <c r="A40" s="141"/>
      <c r="B40" s="159"/>
      <c r="C40" s="143" t="str">
        <f>LINGUA!B7</f>
        <v>Air after the humidifier</v>
      </c>
      <c r="D40" s="144"/>
      <c r="E40" s="160" t="str">
        <f>IF(OR(J41&lt;J36),LINGUA!B24,"")</f>
        <v/>
      </c>
      <c r="F40" s="144"/>
      <c r="G40" s="144"/>
      <c r="H40" s="144"/>
      <c r="I40" s="144"/>
      <c r="J40" s="161"/>
      <c r="K40" s="162"/>
      <c r="L40" s="146"/>
      <c r="M40" s="146"/>
      <c r="N40" s="393"/>
      <c r="O40" s="393"/>
      <c r="U40" s="32"/>
      <c r="V40" s="32"/>
      <c r="W40" s="32"/>
      <c r="X40" s="32"/>
      <c r="Y40" s="32"/>
      <c r="Z40" s="32"/>
      <c r="AA40" s="32"/>
      <c r="AB40" s="32"/>
      <c r="AC40" s="452"/>
    </row>
    <row r="41" spans="1:256" ht="13.15" customHeight="1" x14ac:dyDescent="0.2">
      <c r="A41" s="41"/>
      <c r="B41" s="163"/>
      <c r="C41" s="149" t="str">
        <f>LINGUA!B9</f>
        <v>Relative humidity</v>
      </c>
      <c r="D41" s="149"/>
      <c r="E41" s="150">
        <v>0.5</v>
      </c>
      <c r="F41" s="151" t="str">
        <f>LINGUA!K12</f>
        <v>rH</v>
      </c>
      <c r="G41" s="149"/>
      <c r="H41" s="149" t="str">
        <f>LINGUA!B11</f>
        <v>Specific humidity</v>
      </c>
      <c r="I41" s="149"/>
      <c r="J41" s="635">
        <f>Z45</f>
        <v>7.2911944456997997</v>
      </c>
      <c r="K41" s="152" t="str">
        <f>LINGUA!K4</f>
        <v>g/kg</v>
      </c>
      <c r="L41" s="136"/>
      <c r="M41" s="136"/>
      <c r="N41" s="393"/>
      <c r="O41" s="393"/>
      <c r="U41" s="453" t="s">
        <v>915</v>
      </c>
      <c r="V41" s="454"/>
      <c r="W41" s="455"/>
      <c r="X41" s="453" t="s">
        <v>1330</v>
      </c>
      <c r="Y41" s="454"/>
      <c r="Z41" s="456"/>
      <c r="AA41" s="453" t="s">
        <v>2019</v>
      </c>
      <c r="AB41" s="454"/>
      <c r="AC41" s="456"/>
      <c r="AD41" s="453" t="s">
        <v>1331</v>
      </c>
      <c r="AE41" s="454"/>
      <c r="AF41" s="457"/>
      <c r="AG41" s="456"/>
    </row>
    <row r="42" spans="1:256" ht="13.15" customHeight="1" x14ac:dyDescent="0.2">
      <c r="A42" s="41"/>
      <c r="B42" s="163"/>
      <c r="C42" s="149" t="str">
        <f>LINGUA!B10</f>
        <v>Temperature</v>
      </c>
      <c r="D42" s="149"/>
      <c r="E42" s="153">
        <v>20</v>
      </c>
      <c r="F42" s="151" t="str">
        <f>LINGUA!K6</f>
        <v>°C</v>
      </c>
      <c r="G42" s="149"/>
      <c r="H42" s="149"/>
      <c r="I42" s="149"/>
      <c r="J42" s="170"/>
      <c r="K42" s="152"/>
      <c r="L42" s="136"/>
      <c r="M42" s="136"/>
      <c r="N42" s="393"/>
      <c r="O42" s="393"/>
      <c r="U42" s="458" t="s">
        <v>913</v>
      </c>
      <c r="V42" s="32"/>
      <c r="W42" s="459">
        <f>101325*(1-0.0000225577*E33)^5.2559</f>
        <v>101325</v>
      </c>
      <c r="X42" s="458" t="s">
        <v>913</v>
      </c>
      <c r="Y42" s="32"/>
      <c r="Z42" s="459">
        <f>W42</f>
        <v>101325</v>
      </c>
      <c r="AA42" s="458" t="s">
        <v>913</v>
      </c>
      <c r="AB42" s="32"/>
      <c r="AC42" s="459">
        <f>Z42</f>
        <v>101325</v>
      </c>
      <c r="AD42" s="458" t="s">
        <v>913</v>
      </c>
      <c r="AE42" s="32"/>
      <c r="AF42" s="460">
        <f>AC42</f>
        <v>101325</v>
      </c>
      <c r="AG42" s="461"/>
      <c r="AI42" s="45" t="s">
        <v>2017</v>
      </c>
    </row>
    <row r="43" spans="1:256" ht="13.15" customHeight="1" x14ac:dyDescent="0.2">
      <c r="A43" s="41"/>
      <c r="B43" s="147"/>
      <c r="C43" s="149" t="str">
        <f>LINGUA!B17</f>
        <v>Percentage of recirculation air</v>
      </c>
      <c r="D43" s="149"/>
      <c r="E43" s="150">
        <v>0</v>
      </c>
      <c r="F43" s="149"/>
      <c r="G43" s="149"/>
      <c r="H43" s="261" t="str">
        <f>IF(OR(AC45&gt;AC46),LINGUA!C24,"")</f>
        <v/>
      </c>
      <c r="K43" s="152"/>
      <c r="L43" s="136"/>
      <c r="M43" s="136"/>
      <c r="N43" s="393"/>
      <c r="O43" s="394"/>
      <c r="P43" s="115"/>
      <c r="Q43" s="115"/>
      <c r="R43" s="115"/>
      <c r="S43" s="115"/>
      <c r="T43" s="115"/>
      <c r="U43" s="458" t="s">
        <v>914</v>
      </c>
      <c r="V43" s="32"/>
      <c r="W43" s="462">
        <f>$V$27+E37</f>
        <v>268.14999999999998</v>
      </c>
      <c r="X43" s="458" t="s">
        <v>914</v>
      </c>
      <c r="Y43" s="32"/>
      <c r="Z43" s="462">
        <f>$V$27+E42</f>
        <v>293.14999999999998</v>
      </c>
      <c r="AA43" s="458" t="s">
        <v>914</v>
      </c>
      <c r="AB43" s="32"/>
      <c r="AC43" s="463">
        <f>((W43*E77*(1-E43))+(Z43*E77*E43))/E77</f>
        <v>268.14999999999998</v>
      </c>
      <c r="AD43" s="458" t="s">
        <v>914</v>
      </c>
      <c r="AE43" s="32"/>
      <c r="AF43" s="464">
        <f>+Z43-AI43</f>
        <v>292.15111632086268</v>
      </c>
      <c r="AG43" s="462">
        <f>+AF43-V27</f>
        <v>19.001116320862707</v>
      </c>
      <c r="AI43" s="45">
        <f>(100-(AC43-V27))*(1.9*(Z45-AC45)/1000)/(1.005+1.9*AC45/1000)</f>
        <v>0.99888367913728604</v>
      </c>
    </row>
    <row r="44" spans="1:256" x14ac:dyDescent="0.2">
      <c r="A44" s="58"/>
      <c r="B44" s="165"/>
      <c r="C44" s="166"/>
      <c r="D44" s="166"/>
      <c r="E44" s="166"/>
      <c r="F44" s="166"/>
      <c r="G44" s="166"/>
      <c r="H44" s="166"/>
      <c r="I44" s="166"/>
      <c r="J44" s="167"/>
      <c r="K44" s="168"/>
      <c r="L44" s="169"/>
      <c r="M44" s="169"/>
      <c r="N44" s="393"/>
      <c r="O44" s="394"/>
      <c r="P44" s="115"/>
      <c r="Q44" s="115"/>
      <c r="R44" s="115"/>
      <c r="S44" s="115"/>
      <c r="T44" s="115"/>
      <c r="U44" s="458" t="s">
        <v>917</v>
      </c>
      <c r="V44" s="32"/>
      <c r="W44" s="461">
        <f>IF(W43&lt;$V$27,EXP($U$33/W43+$U$34+$U$35*W43+$U$36*(W43)^2+$U$37*(W43^3)+$U$38*(W43^4)+$U$39*LN(W43)),EXP($V$33/W43+$V$34+$V$35*W43+$V$36*(W43)^2+$V$37*(W43^3)+$V$38*(W43^4)+$V$39*LN(W43)))</f>
        <v>402.02925588076624</v>
      </c>
      <c r="X44" s="458" t="s">
        <v>917</v>
      </c>
      <c r="Y44" s="32"/>
      <c r="Z44" s="461">
        <f>IF(Z43&lt;$V$27,EXP($U$33/Z43+$U$34+$U$35*Z43+$U$36*(Z43)^2+$U$37*(Z43^3)+$U$38*(Z43^4)+$U$39*LN(Z43)),EXP($V$33/Z43+$V$34+$V$35*Z43+$V$36*(Z43)^2+$V$37*(Z43^3)+$V$38*(Z43^4)+$V$39*LN(Z43)))</f>
        <v>2338.8037000739814</v>
      </c>
      <c r="AA44" s="458" t="s">
        <v>917</v>
      </c>
      <c r="AB44" s="32"/>
      <c r="AC44" s="461">
        <f>IF(AC43&lt;$V$27,EXP($U$33/AC43+$U$34+$U$35*AC43+$U$36*(AC43)^2+$U$37*(AC43^3)+$U$38*(AC43^4)+$U$39*LN(AC43)),EXP($V$33/AC43+$V$34+$V$35*AC43+$V$36*(AC43)^2+$V$37*(AC43^3)+$V$38*(AC43^4)+$V$39*LN(AC43)))</f>
        <v>402.02925588076624</v>
      </c>
      <c r="AD44" s="458" t="s">
        <v>917</v>
      </c>
      <c r="AE44" s="32"/>
      <c r="AF44" s="461">
        <f>IF(AF43&lt;$V$27,EXP($U$33/AF43+$U$34+$U$35*AF43+$U$36*(AF43)^2+$U$37*(AF43^3)+$U$38*(AF43^4)+$U$39*LN(AF43)),EXP($V$33/AF43+$V$34+$V$35*AF43+$V$36*(AF43)^2+$V$37*(AF43^3)+$V$38*(AF43^4)+$V$39*LN(AF43)))</f>
        <v>2197.9495319625871</v>
      </c>
      <c r="AG44" s="461"/>
    </row>
    <row r="45" spans="1:256" x14ac:dyDescent="0.2">
      <c r="A45" s="58"/>
      <c r="B45" s="58"/>
      <c r="C45" s="58"/>
      <c r="D45" s="58"/>
      <c r="E45" s="58"/>
      <c r="F45" s="58"/>
      <c r="G45" s="58"/>
      <c r="H45" s="58"/>
      <c r="I45" s="58"/>
      <c r="J45" s="170"/>
      <c r="K45" s="171"/>
      <c r="L45" s="169"/>
      <c r="M45" s="169"/>
      <c r="N45" s="393"/>
      <c r="O45" s="394"/>
      <c r="P45" s="115"/>
      <c r="Q45" s="115"/>
      <c r="R45" s="115"/>
      <c r="S45" s="115"/>
      <c r="T45" s="115"/>
      <c r="U45" s="465" t="s">
        <v>916</v>
      </c>
      <c r="V45" s="466"/>
      <c r="W45" s="467">
        <f>$V$32*1000*0.62198*E36*W44/(W42-E36*W44)</f>
        <v>2.2379341661572782</v>
      </c>
      <c r="X45" s="465" t="s">
        <v>916</v>
      </c>
      <c r="Y45" s="466"/>
      <c r="Z45" s="467">
        <f>$V$32*1000*0.62198*E41*Z44/(Z42-E41*Z44)</f>
        <v>7.2911944456997997</v>
      </c>
      <c r="AA45" s="465" t="s">
        <v>916</v>
      </c>
      <c r="AB45" s="466"/>
      <c r="AC45" s="467">
        <f>((W45*E77*(1-E43))+(Z45*E77*E43))/E77</f>
        <v>2.2379341661572782</v>
      </c>
      <c r="AD45" s="465" t="s">
        <v>916</v>
      </c>
      <c r="AE45" s="466"/>
      <c r="AF45" s="468">
        <f>AC45</f>
        <v>2.2379341661572782</v>
      </c>
      <c r="AG45" s="467"/>
      <c r="AI45" s="45" t="s">
        <v>2018</v>
      </c>
    </row>
    <row r="46" spans="1:256" x14ac:dyDescent="0.2">
      <c r="A46" s="41"/>
      <c r="B46" s="694" t="str">
        <f>LINGUA!B13</f>
        <v>The following diagram shows the isothermal transformation in red. Blue lines represent curves at a fixed relative humidity, while cyan ones are constant-enthalpy curves.</v>
      </c>
      <c r="C46" s="694"/>
      <c r="D46" s="694"/>
      <c r="E46" s="694"/>
      <c r="F46" s="694"/>
      <c r="G46" s="694"/>
      <c r="H46" s="694"/>
      <c r="I46" s="694"/>
      <c r="J46" s="694"/>
      <c r="K46" s="694"/>
      <c r="L46" s="136"/>
      <c r="M46" s="136"/>
      <c r="N46" s="393"/>
      <c r="O46" s="394"/>
      <c r="P46" s="115"/>
      <c r="Q46" s="115"/>
      <c r="R46" s="115"/>
      <c r="S46" s="115"/>
      <c r="T46" s="115"/>
      <c r="AA46" s="45" t="s">
        <v>1760</v>
      </c>
      <c r="AC46" s="45">
        <f>621.98*V32*AC44/(101180.925-V32*AC44)</f>
        <v>2.491180097324921</v>
      </c>
      <c r="AI46" s="450">
        <f>+Z45-AC45</f>
        <v>5.0532602795425214</v>
      </c>
    </row>
    <row r="47" spans="1:256" ht="13.5" x14ac:dyDescent="0.25">
      <c r="A47" s="41"/>
      <c r="B47" s="694"/>
      <c r="C47" s="694"/>
      <c r="D47" s="694"/>
      <c r="E47" s="694"/>
      <c r="F47" s="694"/>
      <c r="G47" s="694"/>
      <c r="H47" s="694"/>
      <c r="I47" s="694"/>
      <c r="J47" s="694"/>
      <c r="K47" s="694"/>
      <c r="L47" s="136"/>
      <c r="M47" s="136"/>
      <c r="N47" s="393"/>
      <c r="O47" s="394"/>
      <c r="P47" s="115"/>
      <c r="Q47" s="115"/>
      <c r="R47" s="115"/>
      <c r="S47" s="115"/>
      <c r="T47" s="115"/>
      <c r="U47" s="469" t="s">
        <v>2396</v>
      </c>
      <c r="V47" s="32"/>
      <c r="W47" s="32"/>
      <c r="X47" s="470"/>
      <c r="Y47" s="470"/>
      <c r="Z47" s="32"/>
      <c r="AA47" s="32"/>
      <c r="AB47" s="32"/>
      <c r="AC47" s="32"/>
    </row>
    <row r="48" spans="1:256" ht="13.5" x14ac:dyDescent="0.25">
      <c r="A48" s="41"/>
      <c r="B48" s="41"/>
      <c r="C48" s="41"/>
      <c r="D48" s="41"/>
      <c r="E48" s="41"/>
      <c r="F48" s="41"/>
      <c r="G48" s="41"/>
      <c r="H48" s="41"/>
      <c r="I48" s="41"/>
      <c r="J48" s="41"/>
      <c r="K48" s="41"/>
      <c r="L48" s="164"/>
      <c r="M48" s="164"/>
      <c r="N48" s="394"/>
      <c r="O48" s="393"/>
      <c r="U48" s="470" t="s">
        <v>920</v>
      </c>
      <c r="V48" s="471">
        <f>E41</f>
        <v>0.5</v>
      </c>
      <c r="W48" s="470"/>
      <c r="X48" s="470"/>
      <c r="Y48" s="470"/>
      <c r="Z48" s="32"/>
      <c r="AA48" s="32"/>
      <c r="AB48" s="32"/>
      <c r="AC48" s="32"/>
      <c r="EA48" s="62"/>
      <c r="EB48" s="62"/>
      <c r="EC48" s="62"/>
      <c r="ED48" s="62"/>
      <c r="EE48" s="62"/>
      <c r="EF48" s="62"/>
      <c r="EG48" s="62"/>
      <c r="EH48" s="62"/>
      <c r="EI48" s="62"/>
      <c r="EJ48" s="62"/>
      <c r="EK48" s="62"/>
      <c r="EL48" s="62"/>
      <c r="EM48" s="62"/>
      <c r="EN48" s="62"/>
      <c r="EO48" s="62"/>
      <c r="EP48" s="62"/>
      <c r="EQ48" s="62"/>
      <c r="ER48" s="62"/>
      <c r="ES48" s="62"/>
      <c r="ET48" s="62"/>
      <c r="EU48" s="62"/>
      <c r="EV48" s="62"/>
      <c r="EW48" s="62"/>
      <c r="EX48" s="62"/>
      <c r="EY48" s="62"/>
      <c r="EZ48" s="62"/>
      <c r="FA48" s="62"/>
      <c r="FB48" s="62"/>
      <c r="FC48" s="62"/>
      <c r="FD48" s="62"/>
      <c r="FE48" s="62"/>
      <c r="FF48" s="62"/>
      <c r="FG48" s="62"/>
      <c r="FH48" s="62"/>
      <c r="FI48" s="62"/>
      <c r="FJ48" s="62"/>
      <c r="FK48" s="62"/>
      <c r="FL48" s="62"/>
      <c r="FM48" s="62"/>
      <c r="FN48" s="62"/>
      <c r="FO48" s="62"/>
      <c r="FP48" s="62"/>
      <c r="FQ48" s="62"/>
      <c r="FR48" s="62"/>
      <c r="FS48" s="62"/>
      <c r="FT48" s="62"/>
      <c r="FU48" s="62"/>
      <c r="FV48" s="62"/>
      <c r="FW48" s="62"/>
      <c r="FX48" s="62"/>
      <c r="FY48" s="62"/>
      <c r="FZ48" s="62"/>
      <c r="GA48" s="62"/>
      <c r="GB48" s="62"/>
      <c r="GC48" s="62"/>
      <c r="GD48" s="62"/>
      <c r="GE48" s="62"/>
      <c r="GF48" s="62"/>
      <c r="GG48" s="62"/>
      <c r="GH48" s="62"/>
      <c r="GI48" s="62"/>
      <c r="GJ48" s="62"/>
      <c r="GK48" s="62"/>
      <c r="GL48" s="62"/>
      <c r="GM48" s="62"/>
      <c r="GN48" s="62"/>
      <c r="GO48" s="62"/>
      <c r="GP48" s="62"/>
      <c r="GQ48" s="62"/>
      <c r="GR48" s="62"/>
      <c r="GS48" s="62"/>
      <c r="GT48" s="62"/>
      <c r="GU48" s="62"/>
      <c r="GV48" s="62"/>
      <c r="GW48" s="62"/>
      <c r="GX48" s="62"/>
      <c r="GY48" s="62"/>
      <c r="GZ48" s="62"/>
      <c r="HA48" s="62"/>
      <c r="HB48" s="62"/>
      <c r="HC48" s="62"/>
      <c r="HD48" s="62"/>
      <c r="HE48" s="62"/>
      <c r="HF48" s="62"/>
      <c r="HG48" s="62"/>
      <c r="HH48" s="62"/>
      <c r="HI48" s="62"/>
      <c r="HJ48" s="62"/>
      <c r="HK48" s="62"/>
      <c r="HL48" s="62"/>
      <c r="HM48" s="62"/>
      <c r="HN48" s="62"/>
      <c r="HO48" s="62"/>
      <c r="HP48" s="62"/>
      <c r="HQ48" s="62"/>
      <c r="HR48" s="62"/>
      <c r="HS48" s="62"/>
      <c r="HT48" s="62"/>
      <c r="HU48" s="62"/>
      <c r="HV48" s="62"/>
      <c r="HW48" s="62"/>
      <c r="HX48" s="62"/>
      <c r="HY48" s="62"/>
      <c r="HZ48" s="62"/>
      <c r="IA48" s="62"/>
      <c r="IB48" s="62"/>
      <c r="IC48" s="62"/>
      <c r="ID48" s="62"/>
      <c r="IE48" s="62"/>
      <c r="IF48" s="62"/>
      <c r="IG48" s="62"/>
      <c r="IH48" s="62"/>
      <c r="II48" s="62"/>
      <c r="IJ48" s="62"/>
      <c r="IK48" s="62"/>
      <c r="IL48" s="62"/>
      <c r="IM48" s="62"/>
      <c r="IN48" s="62"/>
      <c r="IO48" s="62"/>
      <c r="IP48" s="62"/>
      <c r="IQ48" s="62"/>
      <c r="IR48" s="62"/>
      <c r="IS48" s="62"/>
      <c r="IT48" s="62"/>
      <c r="IU48" s="62"/>
      <c r="IV48" s="62"/>
    </row>
    <row r="49" spans="1:256" ht="13.5" x14ac:dyDescent="0.25">
      <c r="A49" s="41"/>
      <c r="B49" s="41"/>
      <c r="C49" s="41"/>
      <c r="D49" s="41"/>
      <c r="E49" s="41"/>
      <c r="F49" s="41"/>
      <c r="G49" s="41"/>
      <c r="H49" s="41"/>
      <c r="I49" s="41"/>
      <c r="J49" s="41"/>
      <c r="K49" s="41"/>
      <c r="L49" s="164"/>
      <c r="M49" s="164"/>
      <c r="N49" s="394"/>
      <c r="O49" s="393"/>
      <c r="U49" s="45" t="s">
        <v>922</v>
      </c>
      <c r="V49" s="472">
        <f>AG43</f>
        <v>19.001116320862707</v>
      </c>
      <c r="W49" s="470"/>
      <c r="X49" s="470"/>
      <c r="Y49" s="470"/>
      <c r="Z49" s="32"/>
      <c r="AA49" s="32"/>
      <c r="AB49" s="32"/>
      <c r="AC49" s="32"/>
      <c r="EA49" s="62"/>
      <c r="EB49" s="62"/>
      <c r="EC49" s="62"/>
      <c r="ED49" s="62"/>
      <c r="EE49" s="62"/>
      <c r="EF49" s="62"/>
      <c r="EG49" s="62"/>
      <c r="EH49" s="62"/>
      <c r="EI49" s="62"/>
      <c r="EJ49" s="62"/>
      <c r="EK49" s="62"/>
      <c r="EL49" s="62"/>
      <c r="EM49" s="62"/>
      <c r="EN49" s="62"/>
      <c r="EO49" s="62"/>
      <c r="EP49" s="62"/>
      <c r="EQ49" s="62"/>
      <c r="ER49" s="62"/>
      <c r="ES49" s="62"/>
      <c r="ET49" s="62"/>
      <c r="EU49" s="62"/>
      <c r="EV49" s="62"/>
      <c r="EW49" s="62"/>
      <c r="EX49" s="62"/>
      <c r="EY49" s="62"/>
      <c r="EZ49" s="62"/>
      <c r="FA49" s="62"/>
      <c r="FB49" s="62"/>
      <c r="FC49" s="62"/>
      <c r="FD49" s="62"/>
      <c r="FE49" s="62"/>
      <c r="FF49" s="62"/>
      <c r="FG49" s="62"/>
      <c r="FH49" s="62"/>
      <c r="FI49" s="62"/>
      <c r="FJ49" s="62"/>
      <c r="FK49" s="62"/>
      <c r="FL49" s="62"/>
      <c r="FM49" s="62"/>
      <c r="FN49" s="62"/>
      <c r="FO49" s="62"/>
      <c r="FP49" s="62"/>
      <c r="FQ49" s="62"/>
      <c r="FR49" s="62"/>
      <c r="FS49" s="62"/>
      <c r="FT49" s="62"/>
      <c r="FU49" s="62"/>
      <c r="FV49" s="62"/>
      <c r="FW49" s="62"/>
      <c r="FX49" s="62"/>
      <c r="FY49" s="62"/>
      <c r="FZ49" s="62"/>
      <c r="GA49" s="62"/>
      <c r="GB49" s="62"/>
      <c r="GC49" s="62"/>
      <c r="GD49" s="62"/>
      <c r="GE49" s="62"/>
      <c r="GF49" s="62"/>
      <c r="GG49" s="62"/>
      <c r="GH49" s="62"/>
      <c r="GI49" s="62"/>
      <c r="GJ49" s="62"/>
      <c r="GK49" s="62"/>
      <c r="GL49" s="62"/>
      <c r="GM49" s="62"/>
      <c r="GN49" s="62"/>
      <c r="GO49" s="62"/>
      <c r="GP49" s="62"/>
      <c r="GQ49" s="62"/>
      <c r="GR49" s="62"/>
      <c r="GS49" s="62"/>
      <c r="GT49" s="62"/>
      <c r="GU49" s="62"/>
      <c r="GV49" s="62"/>
      <c r="GW49" s="62"/>
      <c r="GX49" s="62"/>
      <c r="GY49" s="62"/>
      <c r="GZ49" s="62"/>
      <c r="HA49" s="62"/>
      <c r="HB49" s="62"/>
      <c r="HC49" s="62"/>
      <c r="HD49" s="62"/>
      <c r="HE49" s="62"/>
      <c r="HF49" s="62"/>
      <c r="HG49" s="62"/>
      <c r="HH49" s="62"/>
      <c r="HI49" s="62"/>
      <c r="HJ49" s="62"/>
      <c r="HK49" s="62"/>
      <c r="HL49" s="62"/>
      <c r="HM49" s="62"/>
      <c r="HN49" s="62"/>
      <c r="HO49" s="62"/>
      <c r="HP49" s="62"/>
      <c r="HQ49" s="62"/>
      <c r="HR49" s="62"/>
      <c r="HS49" s="62"/>
      <c r="HT49" s="62"/>
      <c r="HU49" s="62"/>
      <c r="HV49" s="62"/>
      <c r="HW49" s="62"/>
      <c r="HX49" s="62"/>
      <c r="HY49" s="62"/>
      <c r="HZ49" s="62"/>
      <c r="IA49" s="62"/>
      <c r="IB49" s="62"/>
      <c r="IC49" s="62"/>
      <c r="ID49" s="62"/>
      <c r="IE49" s="62"/>
      <c r="IF49" s="62"/>
      <c r="IG49" s="62"/>
      <c r="IH49" s="62"/>
      <c r="II49" s="62"/>
      <c r="IJ49" s="62"/>
      <c r="IK49" s="62"/>
      <c r="IL49" s="62"/>
      <c r="IM49" s="62"/>
      <c r="IN49" s="62"/>
      <c r="IO49" s="62"/>
      <c r="IP49" s="62"/>
      <c r="IQ49" s="62"/>
      <c r="IR49" s="62"/>
      <c r="IS49" s="62"/>
      <c r="IT49" s="62"/>
      <c r="IU49" s="62"/>
      <c r="IV49" s="62"/>
    </row>
    <row r="50" spans="1:256" ht="13.5" x14ac:dyDescent="0.25">
      <c r="A50" s="41"/>
      <c r="B50" s="41"/>
      <c r="C50" s="41"/>
      <c r="D50" s="41"/>
      <c r="E50" s="41"/>
      <c r="F50" s="41"/>
      <c r="G50" s="41"/>
      <c r="H50" s="41"/>
      <c r="I50" s="41"/>
      <c r="J50" s="41"/>
      <c r="K50" s="41"/>
      <c r="L50" s="164"/>
      <c r="M50" s="164"/>
      <c r="N50" s="394"/>
      <c r="O50" s="394"/>
      <c r="P50" s="473"/>
      <c r="Q50" s="473"/>
      <c r="R50" s="473"/>
      <c r="S50" s="473"/>
      <c r="T50" s="473"/>
      <c r="U50" s="45" t="s">
        <v>923</v>
      </c>
      <c r="V50" s="464">
        <f>AF45</f>
        <v>2.2379341661572782</v>
      </c>
      <c r="W50" s="32"/>
      <c r="X50" s="32"/>
      <c r="Y50" s="32"/>
      <c r="Z50" s="32"/>
      <c r="AA50" s="32"/>
      <c r="AB50" s="32"/>
      <c r="AC50" s="32"/>
      <c r="EA50" s="62"/>
      <c r="EB50" s="62"/>
      <c r="EC50" s="62"/>
      <c r="ED50" s="62"/>
      <c r="EE50" s="62"/>
      <c r="EF50" s="62"/>
      <c r="EG50" s="62"/>
      <c r="EH50" s="62"/>
      <c r="EI50" s="62"/>
      <c r="EJ50" s="62"/>
      <c r="EK50" s="62"/>
      <c r="EL50" s="62"/>
      <c r="EM50" s="62"/>
      <c r="EN50" s="62"/>
      <c r="EO50" s="62"/>
      <c r="EP50" s="62"/>
      <c r="EQ50" s="62"/>
      <c r="ER50" s="62"/>
      <c r="ES50" s="62"/>
      <c r="ET50" s="62"/>
      <c r="EU50" s="62"/>
      <c r="EV50" s="62"/>
      <c r="EW50" s="62"/>
      <c r="EX50" s="62"/>
      <c r="EY50" s="62"/>
      <c r="EZ50" s="62"/>
      <c r="FA50" s="62"/>
      <c r="FB50" s="62"/>
      <c r="FC50" s="62"/>
      <c r="FD50" s="62"/>
      <c r="FE50" s="62"/>
      <c r="FF50" s="62"/>
      <c r="FG50" s="62"/>
      <c r="FH50" s="62"/>
      <c r="FI50" s="62"/>
      <c r="FJ50" s="62"/>
      <c r="FK50" s="62"/>
      <c r="FL50" s="62"/>
      <c r="FM50" s="62"/>
      <c r="FN50" s="62"/>
      <c r="FO50" s="62"/>
      <c r="FP50" s="62"/>
      <c r="FQ50" s="62"/>
      <c r="FR50" s="62"/>
      <c r="FS50" s="62"/>
      <c r="FT50" s="62"/>
      <c r="FU50" s="62"/>
      <c r="FV50" s="62"/>
      <c r="FW50" s="62"/>
      <c r="FX50" s="62"/>
      <c r="FY50" s="62"/>
      <c r="FZ50" s="62"/>
      <c r="GA50" s="62"/>
      <c r="GB50" s="62"/>
      <c r="GC50" s="62"/>
      <c r="GD50" s="62"/>
      <c r="GE50" s="62"/>
      <c r="GF50" s="62"/>
      <c r="GG50" s="62"/>
      <c r="GH50" s="62"/>
      <c r="GI50" s="62"/>
      <c r="GJ50" s="62"/>
      <c r="GK50" s="62"/>
      <c r="GL50" s="62"/>
      <c r="GM50" s="62"/>
      <c r="GN50" s="62"/>
      <c r="GO50" s="62"/>
      <c r="GP50" s="62"/>
      <c r="GQ50" s="62"/>
      <c r="GR50" s="62"/>
      <c r="GS50" s="62"/>
      <c r="GT50" s="62"/>
      <c r="GU50" s="62"/>
      <c r="GV50" s="62"/>
      <c r="GW50" s="62"/>
      <c r="GX50" s="62"/>
      <c r="GY50" s="62"/>
      <c r="GZ50" s="62"/>
      <c r="HA50" s="62"/>
      <c r="HB50" s="62"/>
      <c r="HC50" s="62"/>
      <c r="HD50" s="62"/>
      <c r="HE50" s="62"/>
      <c r="HF50" s="62"/>
      <c r="HG50" s="62"/>
      <c r="HH50" s="62"/>
      <c r="HI50" s="62"/>
      <c r="HJ50" s="62"/>
      <c r="HK50" s="62"/>
      <c r="HL50" s="62"/>
      <c r="HM50" s="62"/>
      <c r="HN50" s="62"/>
      <c r="HO50" s="62"/>
      <c r="HP50" s="62"/>
      <c r="HQ50" s="62"/>
      <c r="HR50" s="62"/>
      <c r="HS50" s="62"/>
      <c r="HT50" s="62"/>
      <c r="HU50" s="62"/>
      <c r="HV50" s="62"/>
      <c r="HW50" s="62"/>
      <c r="HX50" s="62"/>
      <c r="HY50" s="62"/>
      <c r="HZ50" s="62"/>
      <c r="IA50" s="62"/>
      <c r="IB50" s="62"/>
      <c r="IC50" s="62"/>
      <c r="ID50" s="62"/>
      <c r="IE50" s="62"/>
      <c r="IF50" s="62"/>
      <c r="IG50" s="62"/>
      <c r="IH50" s="62"/>
      <c r="II50" s="62"/>
      <c r="IJ50" s="62"/>
      <c r="IK50" s="62"/>
      <c r="IL50" s="62"/>
      <c r="IM50" s="62"/>
      <c r="IN50" s="62"/>
      <c r="IO50" s="62"/>
      <c r="IP50" s="62"/>
      <c r="IQ50" s="62"/>
      <c r="IR50" s="62"/>
      <c r="IS50" s="62"/>
      <c r="IT50" s="62"/>
      <c r="IU50" s="62"/>
      <c r="IV50" s="62"/>
    </row>
    <row r="51" spans="1:256" ht="13.5" x14ac:dyDescent="0.25">
      <c r="A51" s="41"/>
      <c r="B51" s="41"/>
      <c r="C51" s="41"/>
      <c r="D51" s="41"/>
      <c r="E51" s="41"/>
      <c r="F51" s="41"/>
      <c r="G51" s="41"/>
      <c r="H51" s="41"/>
      <c r="I51" s="41"/>
      <c r="J51" s="41"/>
      <c r="K51" s="41"/>
      <c r="L51" s="164"/>
      <c r="M51" s="164"/>
      <c r="N51" s="394"/>
      <c r="O51" s="394"/>
      <c r="P51" s="473"/>
      <c r="Q51" s="473"/>
      <c r="R51" s="473"/>
      <c r="S51" s="473"/>
      <c r="T51" s="473"/>
      <c r="U51" s="470" t="s">
        <v>868</v>
      </c>
      <c r="V51" s="474">
        <f>V49</f>
        <v>19.001116320862707</v>
      </c>
      <c r="W51" s="470">
        <f t="shared" ref="W51:CI51" si="0">V51+(V56/V57)</f>
        <v>19.27874337446579</v>
      </c>
      <c r="X51" s="470">
        <f t="shared" si="0"/>
        <v>19.471049638257583</v>
      </c>
      <c r="Y51" s="470">
        <f t="shared" si="0"/>
        <v>19.604320360585792</v>
      </c>
      <c r="Z51" s="470">
        <f t="shared" si="0"/>
        <v>19.696709861498324</v>
      </c>
      <c r="AA51" s="470">
        <f t="shared" si="0"/>
        <v>19.760773659688002</v>
      </c>
      <c r="AB51" s="470">
        <f t="shared" si="0"/>
        <v>19.805203412398551</v>
      </c>
      <c r="AC51" s="470">
        <f t="shared" si="0"/>
        <v>19.836020003249139</v>
      </c>
      <c r="AD51" s="470">
        <f t="shared" si="0"/>
        <v>19.857396162566499</v>
      </c>
      <c r="AE51" s="470">
        <f t="shared" si="0"/>
        <v>19.872224711321433</v>
      </c>
      <c r="AF51" s="470">
        <f t="shared" si="0"/>
        <v>19.882511603948828</v>
      </c>
      <c r="AG51" s="470">
        <f t="shared" si="0"/>
        <v>19.88964803833808</v>
      </c>
      <c r="AH51" s="470">
        <f t="shared" si="0"/>
        <v>19.894598963239098</v>
      </c>
      <c r="AI51" s="470">
        <f t="shared" si="0"/>
        <v>19.898033727579762</v>
      </c>
      <c r="AJ51" s="470">
        <f t="shared" si="0"/>
        <v>19.900416658212599</v>
      </c>
      <c r="AK51" s="470">
        <f t="shared" si="0"/>
        <v>19.902069870121252</v>
      </c>
      <c r="AL51" s="470">
        <f t="shared" si="0"/>
        <v>19.903216828088052</v>
      </c>
      <c r="AM51" s="470">
        <f t="shared" si="0"/>
        <v>19.904012561813545</v>
      </c>
      <c r="AN51" s="470">
        <f t="shared" si="0"/>
        <v>19.904564625167612</v>
      </c>
      <c r="AO51" s="470">
        <f t="shared" si="0"/>
        <v>19.904947635678983</v>
      </c>
      <c r="AP51" s="470">
        <f t="shared" si="0"/>
        <v>19.905213360972542</v>
      </c>
      <c r="AQ51" s="470">
        <f t="shared" si="0"/>
        <v>19.9053977161742</v>
      </c>
      <c r="AR51" s="470">
        <f t="shared" si="0"/>
        <v>19.905525618400194</v>
      </c>
      <c r="AS51" s="470">
        <f t="shared" si="0"/>
        <v>19.905614354626056</v>
      </c>
      <c r="AT51" s="470">
        <f t="shared" si="0"/>
        <v>19.905675918211234</v>
      </c>
      <c r="AU51" s="470">
        <f t="shared" si="0"/>
        <v>19.905718629917583</v>
      </c>
      <c r="AV51" s="470">
        <f t="shared" si="0"/>
        <v>19.905748262533283</v>
      </c>
      <c r="AW51" s="470">
        <f t="shared" si="0"/>
        <v>19.905768821112076</v>
      </c>
      <c r="AX51" s="470">
        <f t="shared" si="0"/>
        <v>19.905783084287105</v>
      </c>
      <c r="AY51" s="470">
        <f t="shared" si="0"/>
        <v>19.905792979823737</v>
      </c>
      <c r="AZ51" s="470">
        <f t="shared" si="0"/>
        <v>19.905799845170861</v>
      </c>
      <c r="BA51" s="470">
        <f t="shared" si="0"/>
        <v>19.905804608226539</v>
      </c>
      <c r="BB51" s="470">
        <f t="shared" si="0"/>
        <v>19.905807912749864</v>
      </c>
      <c r="BC51" s="470">
        <f t="shared" si="0"/>
        <v>19.905810205369399</v>
      </c>
      <c r="BD51" s="470">
        <f t="shared" si="0"/>
        <v>19.905811795948082</v>
      </c>
      <c r="BE51" s="470">
        <f t="shared" si="0"/>
        <v>19.905812899463307</v>
      </c>
      <c r="BF51" s="470">
        <f t="shared" si="0"/>
        <v>19.90581366506256</v>
      </c>
      <c r="BG51" s="470"/>
      <c r="BH51" s="470">
        <f>BF51+(BF56/BF57)</f>
        <v>19.905814196221719</v>
      </c>
      <c r="BI51" s="470">
        <f t="shared" si="0"/>
        <v>19.905814564730509</v>
      </c>
      <c r="BJ51" s="470">
        <f t="shared" si="0"/>
        <v>19.90581482039536</v>
      </c>
      <c r="BK51" s="470">
        <f t="shared" si="0"/>
        <v>19.905814997771088</v>
      </c>
      <c r="BL51" s="470">
        <f t="shared" si="0"/>
        <v>19.905815120831221</v>
      </c>
      <c r="BM51" s="470">
        <f t="shared" si="0"/>
        <v>19.905815206208153</v>
      </c>
      <c r="BN51" s="470">
        <f t="shared" si="0"/>
        <v>19.905815265441152</v>
      </c>
      <c r="BO51" s="470">
        <f t="shared" si="0"/>
        <v>19.905815306535956</v>
      </c>
      <c r="BP51" s="470">
        <f t="shared" si="0"/>
        <v>19.905815335046796</v>
      </c>
      <c r="BQ51" s="470">
        <f t="shared" si="0"/>
        <v>19.905815354827116</v>
      </c>
      <c r="BR51" s="470">
        <f t="shared" si="0"/>
        <v>19.905815368550346</v>
      </c>
      <c r="BS51" s="470">
        <f t="shared" si="0"/>
        <v>19.905815378071278</v>
      </c>
      <c r="BT51" s="470">
        <f t="shared" si="0"/>
        <v>19.905815384676735</v>
      </c>
      <c r="BU51" s="470">
        <f t="shared" si="0"/>
        <v>19.905815389259487</v>
      </c>
      <c r="BV51" s="470">
        <f t="shared" si="0"/>
        <v>19.905815392438917</v>
      </c>
      <c r="BW51" s="470">
        <f t="shared" si="0"/>
        <v>19.905815394644748</v>
      </c>
      <c r="BX51" s="470">
        <f t="shared" si="0"/>
        <v>19.905815396175111</v>
      </c>
      <c r="BY51" s="470">
        <f t="shared" si="0"/>
        <v>19.90581539723685</v>
      </c>
      <c r="BZ51" s="470">
        <f t="shared" si="0"/>
        <v>19.90581539797347</v>
      </c>
      <c r="CA51" s="470">
        <f t="shared" si="0"/>
        <v>19.905815398484521</v>
      </c>
      <c r="CB51" s="470">
        <f t="shared" si="0"/>
        <v>19.905815398839078</v>
      </c>
      <c r="CC51" s="470">
        <f t="shared" si="0"/>
        <v>19.905815399085064</v>
      </c>
      <c r="CD51" s="470">
        <f t="shared" si="0"/>
        <v>19.905815399255726</v>
      </c>
      <c r="CE51" s="470">
        <f t="shared" si="0"/>
        <v>19.905815399374127</v>
      </c>
      <c r="CF51" s="470">
        <f t="shared" si="0"/>
        <v>19.905815399456273</v>
      </c>
      <c r="CG51" s="470">
        <f t="shared" si="0"/>
        <v>19.905815399513262</v>
      </c>
      <c r="CH51" s="470">
        <f t="shared" si="0"/>
        <v>19.9058153995528</v>
      </c>
      <c r="CI51" s="470">
        <f t="shared" si="0"/>
        <v>19.905815399580234</v>
      </c>
      <c r="CJ51" s="470">
        <f t="shared" ref="CJ51:EL51" si="1">CI51+(CI56/CI57)</f>
        <v>19.905815399599266</v>
      </c>
      <c r="CK51" s="470">
        <f t="shared" si="1"/>
        <v>19.905815399612468</v>
      </c>
      <c r="CL51" s="470">
        <f t="shared" si="1"/>
        <v>19.90581539962163</v>
      </c>
      <c r="CM51" s="470">
        <f t="shared" si="1"/>
        <v>19.905815399627986</v>
      </c>
      <c r="CN51" s="470">
        <f t="shared" si="1"/>
        <v>19.905815399632395</v>
      </c>
      <c r="CO51" s="470">
        <f t="shared" si="1"/>
        <v>19.905815399635451</v>
      </c>
      <c r="CP51" s="470">
        <f t="shared" si="1"/>
        <v>19.905815399637572</v>
      </c>
      <c r="CQ51" s="470">
        <f t="shared" si="1"/>
        <v>19.905815399639046</v>
      </c>
      <c r="CR51" s="470">
        <f t="shared" si="1"/>
        <v>19.905815399640069</v>
      </c>
      <c r="CS51" s="470">
        <f t="shared" si="1"/>
        <v>19.905815399640776</v>
      </c>
      <c r="CT51" s="470">
        <f t="shared" si="1"/>
        <v>19.90581539964127</v>
      </c>
      <c r="CU51" s="470">
        <f t="shared" si="1"/>
        <v>19.905815399641607</v>
      </c>
      <c r="CV51" s="470">
        <f t="shared" si="1"/>
        <v>19.905815399641849</v>
      </c>
      <c r="CW51" s="470">
        <f t="shared" si="1"/>
        <v>19.905815399642012</v>
      </c>
      <c r="CX51" s="470">
        <f t="shared" si="1"/>
        <v>19.905815399642126</v>
      </c>
      <c r="CY51" s="470">
        <f t="shared" si="1"/>
        <v>19.905815399642201</v>
      </c>
      <c r="CZ51" s="470">
        <f t="shared" si="1"/>
        <v>19.905815399642258</v>
      </c>
      <c r="DA51" s="470">
        <f t="shared" si="1"/>
        <v>19.905815399642293</v>
      </c>
      <c r="DB51" s="470">
        <f t="shared" si="1"/>
        <v>19.905815399642318</v>
      </c>
      <c r="DC51" s="470">
        <f t="shared" si="1"/>
        <v>19.905815399642343</v>
      </c>
      <c r="DD51" s="470">
        <f t="shared" si="1"/>
        <v>19.905815399642361</v>
      </c>
      <c r="DE51" s="470">
        <f t="shared" si="1"/>
        <v>19.905815399642371</v>
      </c>
      <c r="DF51" s="470">
        <f t="shared" si="1"/>
        <v>19.905815399642371</v>
      </c>
      <c r="DG51" s="470">
        <f t="shared" si="1"/>
        <v>19.905815399642371</v>
      </c>
      <c r="DH51" s="470">
        <f t="shared" si="1"/>
        <v>19.905815399642371</v>
      </c>
      <c r="DI51" s="470">
        <f t="shared" si="1"/>
        <v>19.905815399642371</v>
      </c>
      <c r="DJ51" s="470">
        <f t="shared" si="1"/>
        <v>19.905815399642371</v>
      </c>
      <c r="DK51" s="470">
        <f t="shared" si="1"/>
        <v>19.905815399642371</v>
      </c>
      <c r="DL51" s="470">
        <f t="shared" si="1"/>
        <v>19.905815399642371</v>
      </c>
      <c r="DM51" s="470">
        <f t="shared" si="1"/>
        <v>19.905815399642371</v>
      </c>
      <c r="DN51" s="470">
        <f t="shared" si="1"/>
        <v>19.905815399642371</v>
      </c>
      <c r="DO51" s="470">
        <f t="shared" si="1"/>
        <v>19.905815399642371</v>
      </c>
      <c r="DP51" s="470">
        <f t="shared" si="1"/>
        <v>19.905815399642371</v>
      </c>
      <c r="DQ51" s="470">
        <f t="shared" si="1"/>
        <v>19.905815399642371</v>
      </c>
      <c r="DR51" s="470">
        <f t="shared" si="1"/>
        <v>19.905815399642371</v>
      </c>
      <c r="DS51" s="470">
        <f t="shared" si="1"/>
        <v>19.905815399642371</v>
      </c>
      <c r="DT51" s="470">
        <f t="shared" si="1"/>
        <v>19.905815399642371</v>
      </c>
      <c r="DU51" s="470">
        <f t="shared" si="1"/>
        <v>19.905815399642371</v>
      </c>
      <c r="DV51" s="470">
        <f t="shared" si="1"/>
        <v>19.905815399642371</v>
      </c>
      <c r="DW51" s="470">
        <f t="shared" si="1"/>
        <v>19.905815399642371</v>
      </c>
      <c r="DX51" s="470">
        <f t="shared" si="1"/>
        <v>19.905815399642371</v>
      </c>
      <c r="DY51" s="470">
        <f t="shared" si="1"/>
        <v>19.905815399642371</v>
      </c>
      <c r="DZ51" s="470">
        <f t="shared" si="1"/>
        <v>19.905815399642371</v>
      </c>
      <c r="EA51" s="470">
        <f t="shared" si="1"/>
        <v>19.905815399642371</v>
      </c>
      <c r="EB51" s="470">
        <f t="shared" si="1"/>
        <v>19.905815399642371</v>
      </c>
      <c r="EC51" s="470">
        <f t="shared" si="1"/>
        <v>19.905815399642371</v>
      </c>
      <c r="ED51" s="470">
        <f t="shared" si="1"/>
        <v>19.905815399642371</v>
      </c>
      <c r="EE51" s="470">
        <f t="shared" si="1"/>
        <v>19.905815399642371</v>
      </c>
      <c r="EF51" s="470">
        <f t="shared" si="1"/>
        <v>19.905815399642371</v>
      </c>
      <c r="EG51" s="470">
        <f t="shared" si="1"/>
        <v>19.905815399642371</v>
      </c>
      <c r="EH51" s="470">
        <f t="shared" si="1"/>
        <v>19.905815399642371</v>
      </c>
      <c r="EI51" s="470">
        <f t="shared" si="1"/>
        <v>19.905815399642371</v>
      </c>
      <c r="EJ51" s="470">
        <f t="shared" si="1"/>
        <v>19.905815399642371</v>
      </c>
      <c r="EK51" s="470">
        <f t="shared" si="1"/>
        <v>19.905815399642371</v>
      </c>
      <c r="EL51" s="470">
        <f t="shared" si="1"/>
        <v>19.905815399642371</v>
      </c>
      <c r="EM51" s="62"/>
      <c r="EN51" s="62"/>
      <c r="EO51" s="62"/>
      <c r="EP51" s="62"/>
      <c r="EQ51" s="62"/>
      <c r="ER51" s="62"/>
      <c r="ES51" s="62"/>
      <c r="ET51" s="62"/>
      <c r="EU51" s="62"/>
      <c r="EV51" s="62"/>
      <c r="EW51" s="62"/>
      <c r="EX51" s="62"/>
      <c r="EY51" s="62"/>
      <c r="EZ51" s="62"/>
      <c r="FA51" s="62"/>
      <c r="FB51" s="62"/>
      <c r="FC51" s="62"/>
      <c r="FD51" s="62"/>
      <c r="FE51" s="62"/>
      <c r="FF51" s="62"/>
      <c r="FG51" s="62"/>
      <c r="FH51" s="62"/>
      <c r="FI51" s="62"/>
      <c r="FJ51" s="62"/>
      <c r="FK51" s="62"/>
      <c r="FL51" s="62"/>
      <c r="FM51" s="62"/>
      <c r="FN51" s="62"/>
      <c r="FO51" s="62"/>
      <c r="FP51" s="62"/>
      <c r="FQ51" s="62"/>
      <c r="FR51" s="62"/>
      <c r="FS51" s="62"/>
      <c r="FT51" s="62"/>
      <c r="FU51" s="62"/>
      <c r="FV51" s="62"/>
      <c r="FW51" s="62"/>
      <c r="FX51" s="62"/>
      <c r="FY51" s="62"/>
      <c r="FZ51" s="62"/>
      <c r="GA51" s="62"/>
      <c r="GB51" s="62"/>
      <c r="GC51" s="62"/>
      <c r="GD51" s="62"/>
      <c r="GE51" s="62"/>
      <c r="GF51" s="62"/>
      <c r="GG51" s="62"/>
      <c r="GH51" s="62"/>
      <c r="GI51" s="62"/>
      <c r="GJ51" s="62"/>
      <c r="GK51" s="62"/>
      <c r="GL51" s="62"/>
      <c r="GM51" s="62"/>
      <c r="GN51" s="62"/>
      <c r="GO51" s="62"/>
      <c r="GP51" s="62"/>
      <c r="GQ51" s="62"/>
      <c r="GR51" s="62"/>
      <c r="GS51" s="62"/>
      <c r="GT51" s="62"/>
      <c r="GU51" s="62"/>
      <c r="GV51" s="62"/>
      <c r="GW51" s="62"/>
      <c r="GX51" s="62"/>
      <c r="GY51" s="62"/>
      <c r="GZ51" s="62"/>
      <c r="HA51" s="62"/>
      <c r="HB51" s="62"/>
      <c r="HC51" s="62"/>
      <c r="HD51" s="62"/>
      <c r="HE51" s="62"/>
      <c r="HF51" s="62"/>
      <c r="HG51" s="62"/>
      <c r="HH51" s="62"/>
      <c r="HI51" s="62"/>
      <c r="HJ51" s="62"/>
      <c r="HK51" s="62"/>
      <c r="HL51" s="62"/>
      <c r="HM51" s="62"/>
      <c r="HN51" s="62"/>
      <c r="HO51" s="62"/>
      <c r="HP51" s="62"/>
      <c r="HQ51" s="62"/>
      <c r="HR51" s="62"/>
      <c r="HS51" s="62"/>
      <c r="HT51" s="62"/>
      <c r="HU51" s="62"/>
      <c r="HV51" s="62"/>
      <c r="HW51" s="62"/>
      <c r="HX51" s="62"/>
      <c r="HY51" s="62"/>
      <c r="HZ51" s="62"/>
      <c r="IA51" s="62"/>
      <c r="IB51" s="62"/>
      <c r="IC51" s="62"/>
      <c r="ID51" s="62"/>
      <c r="IE51" s="62"/>
      <c r="IF51" s="62"/>
      <c r="IG51" s="62"/>
      <c r="IH51" s="62"/>
      <c r="II51" s="62"/>
      <c r="IJ51" s="62"/>
      <c r="IK51" s="62"/>
      <c r="IL51" s="62"/>
      <c r="IM51" s="62"/>
      <c r="IN51" s="62"/>
      <c r="IO51" s="62"/>
      <c r="IP51" s="62"/>
      <c r="IQ51" s="62"/>
      <c r="IR51" s="62"/>
      <c r="IS51" s="62"/>
      <c r="IT51" s="62"/>
      <c r="IU51" s="62"/>
      <c r="IV51" s="62"/>
    </row>
    <row r="52" spans="1:256" ht="13.5" x14ac:dyDescent="0.25">
      <c r="A52" s="41"/>
      <c r="B52" s="41"/>
      <c r="C52" s="41"/>
      <c r="D52" s="41"/>
      <c r="E52" s="41"/>
      <c r="F52" s="41"/>
      <c r="G52" s="41"/>
      <c r="H52" s="41"/>
      <c r="I52" s="41"/>
      <c r="J52" s="41"/>
      <c r="K52" s="41"/>
      <c r="L52" s="164"/>
      <c r="M52" s="164"/>
      <c r="N52" s="394"/>
      <c r="O52" s="394"/>
      <c r="P52" s="473"/>
      <c r="Q52" s="473"/>
      <c r="R52" s="473"/>
      <c r="S52" s="473"/>
      <c r="T52" s="473"/>
      <c r="U52" s="470" t="s">
        <v>918</v>
      </c>
      <c r="V52" s="475">
        <f>V51+$V$27</f>
        <v>292.15111632086268</v>
      </c>
      <c r="W52" s="475">
        <f t="shared" ref="W52:CH52" si="2">W51+$V$27</f>
        <v>292.42874337446574</v>
      </c>
      <c r="X52" s="475">
        <f t="shared" si="2"/>
        <v>292.62104963825755</v>
      </c>
      <c r="Y52" s="475">
        <f t="shared" si="2"/>
        <v>292.75432036058578</v>
      </c>
      <c r="Z52" s="475">
        <f t="shared" si="2"/>
        <v>292.84670986149831</v>
      </c>
      <c r="AA52" s="475">
        <f t="shared" si="2"/>
        <v>292.910773659688</v>
      </c>
      <c r="AB52" s="475">
        <f t="shared" si="2"/>
        <v>292.95520341239853</v>
      </c>
      <c r="AC52" s="475">
        <f t="shared" si="2"/>
        <v>292.98602000324911</v>
      </c>
      <c r="AD52" s="475">
        <f t="shared" si="2"/>
        <v>293.00739616256647</v>
      </c>
      <c r="AE52" s="475">
        <f t="shared" si="2"/>
        <v>293.02222471132143</v>
      </c>
      <c r="AF52" s="475">
        <f t="shared" si="2"/>
        <v>293.03251160394882</v>
      </c>
      <c r="AG52" s="475">
        <f t="shared" si="2"/>
        <v>293.03964803833804</v>
      </c>
      <c r="AH52" s="475">
        <f t="shared" si="2"/>
        <v>293.04459896323908</v>
      </c>
      <c r="AI52" s="475">
        <f t="shared" si="2"/>
        <v>293.04803372757976</v>
      </c>
      <c r="AJ52" s="475">
        <f t="shared" si="2"/>
        <v>293.05041665821255</v>
      </c>
      <c r="AK52" s="475">
        <f t="shared" si="2"/>
        <v>293.05206987012122</v>
      </c>
      <c r="AL52" s="475">
        <f t="shared" si="2"/>
        <v>293.05321682808801</v>
      </c>
      <c r="AM52" s="475">
        <f t="shared" si="2"/>
        <v>293.05401256181352</v>
      </c>
      <c r="AN52" s="475">
        <f t="shared" si="2"/>
        <v>293.05456462516759</v>
      </c>
      <c r="AO52" s="475">
        <f t="shared" si="2"/>
        <v>293.05494763567896</v>
      </c>
      <c r="AP52" s="475">
        <f t="shared" si="2"/>
        <v>293.05521336097252</v>
      </c>
      <c r="AQ52" s="475">
        <f t="shared" si="2"/>
        <v>293.05539771617418</v>
      </c>
      <c r="AR52" s="475">
        <f t="shared" si="2"/>
        <v>293.05552561840017</v>
      </c>
      <c r="AS52" s="475">
        <f t="shared" si="2"/>
        <v>293.05561435462602</v>
      </c>
      <c r="AT52" s="475">
        <f t="shared" si="2"/>
        <v>293.05567591821119</v>
      </c>
      <c r="AU52" s="475">
        <f t="shared" si="2"/>
        <v>293.05571862991758</v>
      </c>
      <c r="AV52" s="475">
        <f t="shared" si="2"/>
        <v>293.05574826253326</v>
      </c>
      <c r="AW52" s="475">
        <f t="shared" si="2"/>
        <v>293.05576882111205</v>
      </c>
      <c r="AX52" s="475">
        <f t="shared" si="2"/>
        <v>293.0557830842871</v>
      </c>
      <c r="AY52" s="475">
        <f t="shared" si="2"/>
        <v>293.05579297982371</v>
      </c>
      <c r="AZ52" s="475">
        <f t="shared" si="2"/>
        <v>293.05579984517084</v>
      </c>
      <c r="BA52" s="475">
        <f t="shared" si="2"/>
        <v>293.05580460822654</v>
      </c>
      <c r="BB52" s="476">
        <f t="shared" si="2"/>
        <v>293.05580791274986</v>
      </c>
      <c r="BC52" s="476">
        <f t="shared" si="2"/>
        <v>293.05581020536937</v>
      </c>
      <c r="BD52" s="476">
        <f t="shared" si="2"/>
        <v>293.05581179594805</v>
      </c>
      <c r="BE52" s="476">
        <f t="shared" si="2"/>
        <v>293.05581289946326</v>
      </c>
      <c r="BF52" s="476">
        <f t="shared" si="2"/>
        <v>293.05581366506254</v>
      </c>
      <c r="BG52" s="476"/>
      <c r="BH52" s="476">
        <f t="shared" si="2"/>
        <v>293.05581419622172</v>
      </c>
      <c r="BI52" s="476">
        <f t="shared" si="2"/>
        <v>293.0558145647305</v>
      </c>
      <c r="BJ52" s="476">
        <f t="shared" si="2"/>
        <v>293.05581482039531</v>
      </c>
      <c r="BK52" s="476">
        <f t="shared" si="2"/>
        <v>293.05581499777105</v>
      </c>
      <c r="BL52" s="476">
        <f t="shared" si="2"/>
        <v>293.0558151208312</v>
      </c>
      <c r="BM52" s="476">
        <f t="shared" si="2"/>
        <v>293.05581520620814</v>
      </c>
      <c r="BN52" s="476">
        <f t="shared" si="2"/>
        <v>293.05581526544114</v>
      </c>
      <c r="BO52" s="476">
        <f t="shared" si="2"/>
        <v>293.05581530653592</v>
      </c>
      <c r="BP52" s="476">
        <f t="shared" si="2"/>
        <v>293.05581533504676</v>
      </c>
      <c r="BQ52" s="476">
        <f t="shared" si="2"/>
        <v>293.05581535482708</v>
      </c>
      <c r="BR52" s="476">
        <f t="shared" si="2"/>
        <v>293.05581536855033</v>
      </c>
      <c r="BS52" s="476">
        <f t="shared" si="2"/>
        <v>293.05581537807126</v>
      </c>
      <c r="BT52" s="476">
        <f t="shared" si="2"/>
        <v>293.05581538467669</v>
      </c>
      <c r="BU52" s="476">
        <f t="shared" si="2"/>
        <v>293.05581538925946</v>
      </c>
      <c r="BV52" s="476">
        <f t="shared" si="2"/>
        <v>293.05581539243889</v>
      </c>
      <c r="BW52" s="476">
        <f t="shared" si="2"/>
        <v>293.0558153946447</v>
      </c>
      <c r="BX52" s="476">
        <f t="shared" si="2"/>
        <v>293.05581539617509</v>
      </c>
      <c r="BY52" s="476">
        <f t="shared" si="2"/>
        <v>293.05581539723681</v>
      </c>
      <c r="BZ52" s="476">
        <f t="shared" si="2"/>
        <v>293.05581539797345</v>
      </c>
      <c r="CA52" s="476">
        <f t="shared" si="2"/>
        <v>293.05581539848447</v>
      </c>
      <c r="CB52" s="476">
        <f t="shared" si="2"/>
        <v>293.05581539883906</v>
      </c>
      <c r="CC52" s="476">
        <f t="shared" si="2"/>
        <v>293.05581539908502</v>
      </c>
      <c r="CD52" s="476">
        <f t="shared" si="2"/>
        <v>293.05581539925572</v>
      </c>
      <c r="CE52" s="476">
        <f t="shared" si="2"/>
        <v>293.05581539937413</v>
      </c>
      <c r="CF52" s="476">
        <f t="shared" si="2"/>
        <v>293.05581539945626</v>
      </c>
      <c r="CG52" s="476">
        <f t="shared" si="2"/>
        <v>293.05581539951322</v>
      </c>
      <c r="CH52" s="476">
        <f t="shared" si="2"/>
        <v>293.05581539955278</v>
      </c>
      <c r="CI52" s="476">
        <f t="shared" ref="CI52:EL52" si="3">CI51+$V$27</f>
        <v>293.05581539958018</v>
      </c>
      <c r="CJ52" s="476">
        <f t="shared" si="3"/>
        <v>293.05581539959923</v>
      </c>
      <c r="CK52" s="476">
        <f t="shared" si="3"/>
        <v>293.05581539961247</v>
      </c>
      <c r="CL52" s="476">
        <f t="shared" si="3"/>
        <v>293.05581539962162</v>
      </c>
      <c r="CM52" s="476">
        <f t="shared" si="3"/>
        <v>293.05581539962799</v>
      </c>
      <c r="CN52" s="476">
        <f t="shared" si="3"/>
        <v>293.05581539963237</v>
      </c>
      <c r="CO52" s="476">
        <f t="shared" si="3"/>
        <v>293.05581539963543</v>
      </c>
      <c r="CP52" s="476">
        <f t="shared" si="3"/>
        <v>293.05581539963754</v>
      </c>
      <c r="CQ52" s="476">
        <f t="shared" si="3"/>
        <v>293.05581539963902</v>
      </c>
      <c r="CR52" s="476">
        <f t="shared" si="3"/>
        <v>293.05581539964004</v>
      </c>
      <c r="CS52" s="476">
        <f t="shared" si="3"/>
        <v>293.05581539964078</v>
      </c>
      <c r="CT52" s="476">
        <f t="shared" si="3"/>
        <v>293.05581539964123</v>
      </c>
      <c r="CU52" s="476">
        <f t="shared" si="3"/>
        <v>293.05581539964157</v>
      </c>
      <c r="CV52" s="476">
        <f t="shared" si="3"/>
        <v>293.0558153996418</v>
      </c>
      <c r="CW52" s="476">
        <f t="shared" si="3"/>
        <v>293.05581539964197</v>
      </c>
      <c r="CX52" s="476">
        <f t="shared" si="3"/>
        <v>293.05581539964209</v>
      </c>
      <c r="CY52" s="476">
        <f t="shared" si="3"/>
        <v>293.0558153996422</v>
      </c>
      <c r="CZ52" s="476">
        <f t="shared" si="3"/>
        <v>293.05581539964226</v>
      </c>
      <c r="DA52" s="476">
        <f t="shared" si="3"/>
        <v>293.05581539964226</v>
      </c>
      <c r="DB52" s="476">
        <f t="shared" si="3"/>
        <v>293.05581539964231</v>
      </c>
      <c r="DC52" s="476">
        <f t="shared" si="3"/>
        <v>293.05581539964231</v>
      </c>
      <c r="DD52" s="476">
        <f t="shared" si="3"/>
        <v>293.05581539964231</v>
      </c>
      <c r="DE52" s="476">
        <f t="shared" si="3"/>
        <v>293.05581539964237</v>
      </c>
      <c r="DF52" s="476">
        <f t="shared" si="3"/>
        <v>293.05581539964237</v>
      </c>
      <c r="DG52" s="476">
        <f t="shared" si="3"/>
        <v>293.05581539964237</v>
      </c>
      <c r="DH52" s="476">
        <f t="shared" si="3"/>
        <v>293.05581539964237</v>
      </c>
      <c r="DI52" s="476">
        <f t="shared" si="3"/>
        <v>293.05581539964237</v>
      </c>
      <c r="DJ52" s="476">
        <f t="shared" si="3"/>
        <v>293.05581539964237</v>
      </c>
      <c r="DK52" s="476">
        <f t="shared" si="3"/>
        <v>293.05581539964237</v>
      </c>
      <c r="DL52" s="476">
        <f t="shared" si="3"/>
        <v>293.05581539964237</v>
      </c>
      <c r="DM52" s="476">
        <f t="shared" si="3"/>
        <v>293.05581539964237</v>
      </c>
      <c r="DN52" s="476">
        <f t="shared" si="3"/>
        <v>293.05581539964237</v>
      </c>
      <c r="DO52" s="476">
        <f t="shared" si="3"/>
        <v>293.05581539964237</v>
      </c>
      <c r="DP52" s="476">
        <f t="shared" si="3"/>
        <v>293.05581539964237</v>
      </c>
      <c r="DQ52" s="476">
        <f t="shared" si="3"/>
        <v>293.05581539964237</v>
      </c>
      <c r="DR52" s="476">
        <f t="shared" si="3"/>
        <v>293.05581539964237</v>
      </c>
      <c r="DS52" s="476">
        <f t="shared" si="3"/>
        <v>293.05581539964237</v>
      </c>
      <c r="DT52" s="476">
        <f t="shared" si="3"/>
        <v>293.05581539964237</v>
      </c>
      <c r="DU52" s="476">
        <f t="shared" si="3"/>
        <v>293.05581539964237</v>
      </c>
      <c r="DV52" s="476">
        <f t="shared" si="3"/>
        <v>293.05581539964237</v>
      </c>
      <c r="DW52" s="476">
        <f t="shared" si="3"/>
        <v>293.05581539964237</v>
      </c>
      <c r="DX52" s="476">
        <f t="shared" si="3"/>
        <v>293.05581539964237</v>
      </c>
      <c r="DY52" s="476">
        <f t="shared" si="3"/>
        <v>293.05581539964237</v>
      </c>
      <c r="DZ52" s="476">
        <f t="shared" si="3"/>
        <v>293.05581539964237</v>
      </c>
      <c r="EA52" s="476">
        <f t="shared" si="3"/>
        <v>293.05581539964237</v>
      </c>
      <c r="EB52" s="476">
        <f t="shared" si="3"/>
        <v>293.05581539964237</v>
      </c>
      <c r="EC52" s="476">
        <f t="shared" si="3"/>
        <v>293.05581539964237</v>
      </c>
      <c r="ED52" s="476">
        <f t="shared" si="3"/>
        <v>293.05581539964237</v>
      </c>
      <c r="EE52" s="476">
        <f t="shared" si="3"/>
        <v>293.05581539964237</v>
      </c>
      <c r="EF52" s="476">
        <f t="shared" si="3"/>
        <v>293.05581539964237</v>
      </c>
      <c r="EG52" s="476">
        <f t="shared" si="3"/>
        <v>293.05581539964237</v>
      </c>
      <c r="EH52" s="476">
        <f t="shared" si="3"/>
        <v>293.05581539964237</v>
      </c>
      <c r="EI52" s="476">
        <f t="shared" si="3"/>
        <v>293.05581539964237</v>
      </c>
      <c r="EJ52" s="476">
        <f t="shared" si="3"/>
        <v>293.05581539964237</v>
      </c>
      <c r="EK52" s="476">
        <f t="shared" si="3"/>
        <v>293.05581539964237</v>
      </c>
      <c r="EL52" s="476">
        <f t="shared" si="3"/>
        <v>293.05581539964237</v>
      </c>
      <c r="EM52" s="62"/>
      <c r="EN52" s="62"/>
      <c r="EO52" s="62"/>
      <c r="EP52" s="62"/>
      <c r="EQ52" s="62"/>
      <c r="ER52" s="62"/>
      <c r="ES52" s="62"/>
      <c r="ET52" s="62"/>
      <c r="EU52" s="62"/>
      <c r="EV52" s="62"/>
      <c r="EW52" s="62"/>
      <c r="EX52" s="62"/>
      <c r="EY52" s="62"/>
      <c r="EZ52" s="62"/>
      <c r="FA52" s="62"/>
      <c r="FB52" s="62"/>
      <c r="FC52" s="62"/>
      <c r="FD52" s="62"/>
      <c r="FE52" s="62"/>
      <c r="FF52" s="62"/>
      <c r="FG52" s="62"/>
      <c r="FH52" s="62"/>
      <c r="FI52" s="62"/>
      <c r="FJ52" s="62"/>
      <c r="FK52" s="62"/>
      <c r="FL52" s="62"/>
      <c r="FM52" s="62"/>
      <c r="FN52" s="62"/>
      <c r="FO52" s="62"/>
      <c r="FP52" s="62"/>
      <c r="FQ52" s="62"/>
      <c r="FR52" s="62"/>
      <c r="FS52" s="62"/>
      <c r="FT52" s="62"/>
      <c r="FU52" s="62"/>
      <c r="FV52" s="62"/>
      <c r="FW52" s="62"/>
      <c r="FX52" s="62"/>
      <c r="FY52" s="62"/>
      <c r="FZ52" s="62"/>
      <c r="GA52" s="62"/>
      <c r="GB52" s="62"/>
      <c r="GC52" s="62"/>
      <c r="GD52" s="62"/>
      <c r="GE52" s="62"/>
      <c r="GF52" s="62"/>
      <c r="GG52" s="62"/>
      <c r="GH52" s="62"/>
      <c r="GI52" s="62"/>
      <c r="GJ52" s="62"/>
      <c r="GK52" s="62"/>
      <c r="GL52" s="62"/>
      <c r="GM52" s="62"/>
      <c r="GN52" s="62"/>
      <c r="GO52" s="62"/>
      <c r="GP52" s="62"/>
      <c r="GQ52" s="62"/>
      <c r="GR52" s="62"/>
      <c r="GS52" s="62"/>
      <c r="GT52" s="62"/>
      <c r="GU52" s="62"/>
      <c r="GV52" s="62"/>
      <c r="GW52" s="62"/>
      <c r="GX52" s="62"/>
      <c r="GY52" s="62"/>
      <c r="GZ52" s="62"/>
      <c r="HA52" s="62"/>
      <c r="HB52" s="62"/>
      <c r="HC52" s="62"/>
      <c r="HD52" s="62"/>
      <c r="HE52" s="62"/>
      <c r="HF52" s="62"/>
      <c r="HG52" s="62"/>
      <c r="HH52" s="62"/>
      <c r="HI52" s="62"/>
      <c r="HJ52" s="62"/>
      <c r="HK52" s="62"/>
      <c r="HL52" s="62"/>
      <c r="HM52" s="62"/>
      <c r="HN52" s="62"/>
      <c r="HO52" s="62"/>
      <c r="HP52" s="62"/>
      <c r="HQ52" s="62"/>
      <c r="HR52" s="62"/>
      <c r="HS52" s="62"/>
      <c r="HT52" s="62"/>
      <c r="HU52" s="62"/>
      <c r="HV52" s="62"/>
      <c r="HW52" s="62"/>
      <c r="HX52" s="62"/>
      <c r="HY52" s="62"/>
      <c r="HZ52" s="62"/>
      <c r="IA52" s="62"/>
      <c r="IB52" s="62"/>
      <c r="IC52" s="62"/>
      <c r="ID52" s="62"/>
      <c r="IE52" s="62"/>
      <c r="IF52" s="62"/>
      <c r="IG52" s="62"/>
      <c r="IH52" s="62"/>
      <c r="II52" s="62"/>
      <c r="IJ52" s="62"/>
      <c r="IK52" s="62"/>
      <c r="IL52" s="62"/>
      <c r="IM52" s="62"/>
      <c r="IN52" s="62"/>
      <c r="IO52" s="62"/>
      <c r="IP52" s="62"/>
      <c r="IQ52" s="62"/>
      <c r="IR52" s="62"/>
      <c r="IS52" s="62"/>
      <c r="IT52" s="62"/>
      <c r="IU52" s="62"/>
      <c r="IV52" s="62"/>
    </row>
    <row r="53" spans="1:256" ht="13.5" x14ac:dyDescent="0.25">
      <c r="A53" s="41"/>
      <c r="B53" s="41"/>
      <c r="C53" s="41"/>
      <c r="D53" s="41"/>
      <c r="E53" s="41"/>
      <c r="F53" s="41"/>
      <c r="G53" s="41"/>
      <c r="H53" s="41"/>
      <c r="I53" s="41"/>
      <c r="J53" s="41"/>
      <c r="K53" s="41"/>
      <c r="L53" s="136"/>
      <c r="M53" s="136"/>
      <c r="N53" s="393"/>
      <c r="O53" s="393"/>
      <c r="U53" s="470" t="s">
        <v>919</v>
      </c>
      <c r="V53" s="472">
        <f>IF(V52&lt;$V$27,EXP($U$33/V52+$U$34+$U$35*V52+$U$36*(V52)^2+$U$37*(V52^3)+$U$38*(V52^4)+$U$39*LN(V52)),EXP($V$33/V52+$V$34+$V$35*V52+$V$36*(V52)^2+$V$37*(V52^3)+$V$38*(V52^4)+$V$39*LN(V52)))</f>
        <v>2197.9495319625871</v>
      </c>
      <c r="W53" s="472">
        <f t="shared" ref="W53:CI53" si="4">IF(W52&lt;$V$27,EXP($U$33/W52+$U$34+$U$35*W52+$U$36*(W52)^2+$U$37*(W52^3)+$U$38*(W52^4)+$U$39*LN(W52)),EXP($V$33/W52+$V$34+$V$35*W52+$V$36*(W52)^2+$V$37*(W52^3)+$V$38*(W52^4)+$V$39*LN(W52)))</f>
        <v>2236.3321393955944</v>
      </c>
      <c r="X53" s="472">
        <f t="shared" si="4"/>
        <v>2263.261849245484</v>
      </c>
      <c r="Y53" s="472">
        <f t="shared" si="4"/>
        <v>2282.090658140824</v>
      </c>
      <c r="Z53" s="472">
        <f t="shared" si="4"/>
        <v>2295.2240281879567</v>
      </c>
      <c r="AA53" s="472">
        <f t="shared" si="4"/>
        <v>2304.3696418736822</v>
      </c>
      <c r="AB53" s="472">
        <f t="shared" si="4"/>
        <v>2310.731059953137</v>
      </c>
      <c r="AC53" s="472">
        <f t="shared" si="4"/>
        <v>2315.1523802407291</v>
      </c>
      <c r="AD53" s="472">
        <f t="shared" si="4"/>
        <v>2318.2236105856718</v>
      </c>
      <c r="AE53" s="472">
        <f t="shared" si="4"/>
        <v>2320.356204295033</v>
      </c>
      <c r="AF53" s="472">
        <f t="shared" si="4"/>
        <v>2321.8366404839558</v>
      </c>
      <c r="AG53" s="472">
        <f t="shared" si="4"/>
        <v>2322.8641647764462</v>
      </c>
      <c r="AH53" s="472">
        <f t="shared" si="4"/>
        <v>2323.577246985793</v>
      </c>
      <c r="AI53" s="472">
        <f t="shared" si="4"/>
        <v>2324.0720690129879</v>
      </c>
      <c r="AJ53" s="472">
        <f t="shared" si="4"/>
        <v>2324.4154150445188</v>
      </c>
      <c r="AK53" s="472">
        <f t="shared" si="4"/>
        <v>2324.653645190042</v>
      </c>
      <c r="AL53" s="472">
        <f t="shared" si="4"/>
        <v>2324.8189359925582</v>
      </c>
      <c r="AM53" s="472">
        <f t="shared" si="4"/>
        <v>2324.9336170904389</v>
      </c>
      <c r="AN53" s="472">
        <f t="shared" si="4"/>
        <v>2325.0131833381465</v>
      </c>
      <c r="AO53" s="472">
        <f t="shared" si="4"/>
        <v>2325.0683862095848</v>
      </c>
      <c r="AP53" s="472">
        <f t="shared" si="4"/>
        <v>2325.1066855694548</v>
      </c>
      <c r="AQ53" s="472">
        <f t="shared" si="4"/>
        <v>2325.1332572681563</v>
      </c>
      <c r="AR53" s="472">
        <f t="shared" si="4"/>
        <v>2325.1516923769354</v>
      </c>
      <c r="AS53" s="472">
        <f t="shared" si="4"/>
        <v>2325.1644823935517</v>
      </c>
      <c r="AT53" s="472">
        <f t="shared" si="4"/>
        <v>2325.1733559114314</v>
      </c>
      <c r="AU53" s="472">
        <f t="shared" si="4"/>
        <v>2325.17951221571</v>
      </c>
      <c r="AV53" s="472">
        <f t="shared" si="4"/>
        <v>2325.1837833575682</v>
      </c>
      <c r="AW53" s="472">
        <f t="shared" si="4"/>
        <v>2325.1867466034228</v>
      </c>
      <c r="AX53" s="472">
        <f t="shared" si="4"/>
        <v>2325.1888024524783</v>
      </c>
      <c r="AY53" s="472">
        <f t="shared" si="4"/>
        <v>2325.1902287648268</v>
      </c>
      <c r="AZ53" s="472">
        <f t="shared" si="4"/>
        <v>2325.1912183153845</v>
      </c>
      <c r="BA53" s="472">
        <f t="shared" si="4"/>
        <v>2325.191904848185</v>
      </c>
      <c r="BB53" s="477">
        <f t="shared" si="4"/>
        <v>2325.1923811525198</v>
      </c>
      <c r="BC53" s="477">
        <f t="shared" si="4"/>
        <v>2325.1927116040792</v>
      </c>
      <c r="BD53" s="477">
        <f t="shared" si="4"/>
        <v>2325.1929408654837</v>
      </c>
      <c r="BE53" s="477">
        <f t="shared" si="4"/>
        <v>2325.1930999230071</v>
      </c>
      <c r="BF53" s="477">
        <f t="shared" si="4"/>
        <v>2325.1932102743003</v>
      </c>
      <c r="BG53" s="477"/>
      <c r="BH53" s="477">
        <f t="shared" si="4"/>
        <v>2325.1932868340668</v>
      </c>
      <c r="BI53" s="477">
        <f t="shared" si="4"/>
        <v>2325.193339949863</v>
      </c>
      <c r="BJ53" s="477">
        <f t="shared" si="4"/>
        <v>2325.1933768006638</v>
      </c>
      <c r="BK53" s="477">
        <f t="shared" si="4"/>
        <v>2325.1934023671038</v>
      </c>
      <c r="BL53" s="477">
        <f t="shared" si="4"/>
        <v>2325.1934201046279</v>
      </c>
      <c r="BM53" s="477">
        <f t="shared" si="4"/>
        <v>2325.1934324106292</v>
      </c>
      <c r="BN53" s="477">
        <f t="shared" si="4"/>
        <v>2325.1934409483006</v>
      </c>
      <c r="BO53" s="477">
        <f t="shared" si="4"/>
        <v>2325.1934468715613</v>
      </c>
      <c r="BP53" s="477">
        <f t="shared" si="4"/>
        <v>2325.1934509810681</v>
      </c>
      <c r="BQ53" s="477">
        <f t="shared" si="4"/>
        <v>2325.1934538321325</v>
      </c>
      <c r="BR53" s="477">
        <f t="shared" si="4"/>
        <v>2325.1934558101352</v>
      </c>
      <c r="BS53" s="477">
        <f t="shared" si="4"/>
        <v>2325.1934571824931</v>
      </c>
      <c r="BT53" s="477">
        <f t="shared" si="4"/>
        <v>2325.1934581345854</v>
      </c>
      <c r="BU53" s="477">
        <f t="shared" si="4"/>
        <v>2325.1934587951232</v>
      </c>
      <c r="BV53" s="477">
        <f t="shared" si="4"/>
        <v>2325.1934592533962</v>
      </c>
      <c r="BW53" s="477">
        <f t="shared" si="4"/>
        <v>2325.1934595713192</v>
      </c>
      <c r="BX53" s="477">
        <f t="shared" si="4"/>
        <v>2325.1934597919062</v>
      </c>
      <c r="BY53" s="477">
        <f t="shared" si="4"/>
        <v>2325.1934599449528</v>
      </c>
      <c r="BZ53" s="477">
        <f t="shared" si="4"/>
        <v>2325.1934600511199</v>
      </c>
      <c r="CA53" s="477">
        <f t="shared" si="4"/>
        <v>2325.1934601247813</v>
      </c>
      <c r="CB53" s="477">
        <f t="shared" si="4"/>
        <v>2325.1934601758903</v>
      </c>
      <c r="CC53" s="477">
        <f t="shared" si="4"/>
        <v>2325.1934602113456</v>
      </c>
      <c r="CD53" s="477">
        <f t="shared" si="4"/>
        <v>2325.1934602359379</v>
      </c>
      <c r="CE53" s="477">
        <f t="shared" si="4"/>
        <v>2325.1934602530209</v>
      </c>
      <c r="CF53" s="477">
        <f t="shared" si="4"/>
        <v>2325.1934602648503</v>
      </c>
      <c r="CG53" s="477">
        <f t="shared" si="4"/>
        <v>2325.1934602730616</v>
      </c>
      <c r="CH53" s="477">
        <f t="shared" si="4"/>
        <v>2325.1934602787696</v>
      </c>
      <c r="CI53" s="477">
        <f t="shared" si="4"/>
        <v>2325.1934602827264</v>
      </c>
      <c r="CJ53" s="477">
        <f t="shared" ref="CJ53:EL53" si="5">IF(CJ52&lt;$V$27,EXP($U$33/CJ52+$U$34+$U$35*CJ52+$U$36*(CJ52)^2+$U$37*(CJ52^3)+$U$38*(CJ52^4)+$U$39*LN(CJ52)),EXP($V$33/CJ52+$V$34+$V$35*CJ52+$V$36*(CJ52)^2+$V$37*(CJ52^3)+$V$38*(CJ52^4)+$V$39*LN(CJ52)))</f>
        <v>2325.1934602854608</v>
      </c>
      <c r="CK53" s="477">
        <f t="shared" si="5"/>
        <v>2325.1934602873689</v>
      </c>
      <c r="CL53" s="477">
        <f t="shared" si="5"/>
        <v>2325.1934602886827</v>
      </c>
      <c r="CM53" s="477">
        <f t="shared" si="5"/>
        <v>2325.1934602896076</v>
      </c>
      <c r="CN53" s="477">
        <f t="shared" si="5"/>
        <v>2325.1934602902274</v>
      </c>
      <c r="CO53" s="477">
        <f t="shared" si="5"/>
        <v>2325.1934602906736</v>
      </c>
      <c r="CP53" s="477">
        <f t="shared" si="5"/>
        <v>2325.1934602909791</v>
      </c>
      <c r="CQ53" s="477">
        <f t="shared" si="5"/>
        <v>2325.1934602911938</v>
      </c>
      <c r="CR53" s="477">
        <f t="shared" si="5"/>
        <v>2325.1934602913425</v>
      </c>
      <c r="CS53" s="477">
        <f t="shared" si="5"/>
        <v>2325.193460291458</v>
      </c>
      <c r="CT53" s="477">
        <f t="shared" si="5"/>
        <v>2325.1934602914994</v>
      </c>
      <c r="CU53" s="477">
        <f t="shared" si="5"/>
        <v>2325.193460291574</v>
      </c>
      <c r="CV53" s="477">
        <f t="shared" si="5"/>
        <v>2325.1934602916067</v>
      </c>
      <c r="CW53" s="477">
        <f t="shared" si="5"/>
        <v>2325.1934602916153</v>
      </c>
      <c r="CX53" s="477">
        <f t="shared" si="5"/>
        <v>2325.1934602916235</v>
      </c>
      <c r="CY53" s="477">
        <f t="shared" si="5"/>
        <v>2325.1934602916481</v>
      </c>
      <c r="CZ53" s="477">
        <f t="shared" si="5"/>
        <v>2325.1934602916481</v>
      </c>
      <c r="DA53" s="477">
        <f t="shared" si="5"/>
        <v>2325.1934602916481</v>
      </c>
      <c r="DB53" s="477">
        <f t="shared" si="5"/>
        <v>2325.1934602916895</v>
      </c>
      <c r="DC53" s="477">
        <f t="shared" si="5"/>
        <v>2325.1934602916895</v>
      </c>
      <c r="DD53" s="477">
        <f t="shared" si="5"/>
        <v>2325.1934602916895</v>
      </c>
      <c r="DE53" s="477">
        <f t="shared" si="5"/>
        <v>2325.1934602916895</v>
      </c>
      <c r="DF53" s="477">
        <f t="shared" si="5"/>
        <v>2325.1934602916895</v>
      </c>
      <c r="DG53" s="477">
        <f t="shared" si="5"/>
        <v>2325.1934602916895</v>
      </c>
      <c r="DH53" s="477">
        <f t="shared" si="5"/>
        <v>2325.1934602916895</v>
      </c>
      <c r="DI53" s="477">
        <f t="shared" si="5"/>
        <v>2325.1934602916895</v>
      </c>
      <c r="DJ53" s="477">
        <f t="shared" si="5"/>
        <v>2325.1934602916895</v>
      </c>
      <c r="DK53" s="477">
        <f t="shared" si="5"/>
        <v>2325.1934602916895</v>
      </c>
      <c r="DL53" s="477">
        <f t="shared" si="5"/>
        <v>2325.1934602916895</v>
      </c>
      <c r="DM53" s="477">
        <f t="shared" si="5"/>
        <v>2325.1934602916895</v>
      </c>
      <c r="DN53" s="477">
        <f t="shared" si="5"/>
        <v>2325.1934602916895</v>
      </c>
      <c r="DO53" s="477">
        <f t="shared" si="5"/>
        <v>2325.1934602916895</v>
      </c>
      <c r="DP53" s="477">
        <f t="shared" si="5"/>
        <v>2325.1934602916895</v>
      </c>
      <c r="DQ53" s="477">
        <f t="shared" si="5"/>
        <v>2325.1934602916895</v>
      </c>
      <c r="DR53" s="477">
        <f t="shared" si="5"/>
        <v>2325.1934602916895</v>
      </c>
      <c r="DS53" s="477">
        <f t="shared" si="5"/>
        <v>2325.1934602916895</v>
      </c>
      <c r="DT53" s="477">
        <f t="shared" si="5"/>
        <v>2325.1934602916895</v>
      </c>
      <c r="DU53" s="477">
        <f t="shared" si="5"/>
        <v>2325.1934602916895</v>
      </c>
      <c r="DV53" s="477">
        <f t="shared" si="5"/>
        <v>2325.1934602916895</v>
      </c>
      <c r="DW53" s="477">
        <f t="shared" si="5"/>
        <v>2325.1934602916895</v>
      </c>
      <c r="DX53" s="477">
        <f t="shared" si="5"/>
        <v>2325.1934602916895</v>
      </c>
      <c r="DY53" s="477">
        <f t="shared" si="5"/>
        <v>2325.1934602916895</v>
      </c>
      <c r="DZ53" s="477">
        <f t="shared" si="5"/>
        <v>2325.1934602916895</v>
      </c>
      <c r="EA53" s="477">
        <f t="shared" si="5"/>
        <v>2325.1934602916895</v>
      </c>
      <c r="EB53" s="477">
        <f t="shared" si="5"/>
        <v>2325.1934602916895</v>
      </c>
      <c r="EC53" s="477">
        <f t="shared" si="5"/>
        <v>2325.1934602916895</v>
      </c>
      <c r="ED53" s="477">
        <f t="shared" si="5"/>
        <v>2325.1934602916895</v>
      </c>
      <c r="EE53" s="477">
        <f t="shared" si="5"/>
        <v>2325.1934602916895</v>
      </c>
      <c r="EF53" s="477">
        <f t="shared" si="5"/>
        <v>2325.1934602916895</v>
      </c>
      <c r="EG53" s="477">
        <f t="shared" si="5"/>
        <v>2325.1934602916895</v>
      </c>
      <c r="EH53" s="477">
        <f t="shared" si="5"/>
        <v>2325.1934602916895</v>
      </c>
      <c r="EI53" s="477">
        <f t="shared" si="5"/>
        <v>2325.1934602916895</v>
      </c>
      <c r="EJ53" s="477">
        <f t="shared" si="5"/>
        <v>2325.1934602916895</v>
      </c>
      <c r="EK53" s="477">
        <f t="shared" si="5"/>
        <v>2325.1934602916895</v>
      </c>
      <c r="EL53" s="477">
        <f t="shared" si="5"/>
        <v>2325.1934602916895</v>
      </c>
      <c r="EM53" s="62"/>
      <c r="EN53" s="62"/>
      <c r="EO53" s="62"/>
      <c r="EP53" s="62"/>
      <c r="EQ53" s="62"/>
      <c r="ER53" s="62"/>
      <c r="ES53" s="62"/>
      <c r="ET53" s="62"/>
      <c r="EU53" s="62"/>
      <c r="EV53" s="62"/>
      <c r="EW53" s="62"/>
      <c r="EX53" s="62"/>
      <c r="EY53" s="62"/>
      <c r="EZ53" s="62"/>
      <c r="FA53" s="62"/>
      <c r="FB53" s="62"/>
      <c r="FC53" s="62"/>
      <c r="FD53" s="62"/>
      <c r="FE53" s="62"/>
      <c r="FF53" s="62"/>
      <c r="FG53" s="62"/>
      <c r="FH53" s="62"/>
      <c r="FI53" s="62"/>
      <c r="FJ53" s="62"/>
      <c r="FK53" s="62"/>
      <c r="FL53" s="62"/>
      <c r="FM53" s="62"/>
      <c r="FN53" s="62"/>
      <c r="FO53" s="62"/>
      <c r="FP53" s="62"/>
      <c r="FQ53" s="62"/>
      <c r="FR53" s="62"/>
      <c r="FS53" s="62"/>
      <c r="FT53" s="62"/>
      <c r="FU53" s="62"/>
      <c r="FV53" s="62"/>
      <c r="FW53" s="62"/>
      <c r="FX53" s="62"/>
      <c r="FY53" s="62"/>
      <c r="FZ53" s="62"/>
      <c r="GA53" s="62"/>
      <c r="GB53" s="62"/>
      <c r="GC53" s="62"/>
      <c r="GD53" s="62"/>
      <c r="GE53" s="62"/>
      <c r="GF53" s="62"/>
      <c r="GG53" s="62"/>
      <c r="GH53" s="62"/>
      <c r="GI53" s="62"/>
      <c r="GJ53" s="62"/>
      <c r="GK53" s="62"/>
      <c r="GL53" s="62"/>
      <c r="GM53" s="62"/>
      <c r="GN53" s="62"/>
      <c r="GO53" s="62"/>
      <c r="GP53" s="62"/>
      <c r="GQ53" s="62"/>
      <c r="GR53" s="62"/>
      <c r="GS53" s="62"/>
      <c r="GT53" s="62"/>
      <c r="GU53" s="62"/>
      <c r="GV53" s="62"/>
      <c r="GW53" s="62"/>
      <c r="GX53" s="62"/>
      <c r="GY53" s="62"/>
      <c r="GZ53" s="62"/>
      <c r="HA53" s="62"/>
      <c r="HB53" s="62"/>
      <c r="HC53" s="62"/>
      <c r="HD53" s="62"/>
      <c r="HE53" s="62"/>
      <c r="HF53" s="62"/>
      <c r="HG53" s="62"/>
      <c r="HH53" s="62"/>
      <c r="HI53" s="62"/>
      <c r="HJ53" s="62"/>
      <c r="HK53" s="62"/>
      <c r="HL53" s="62"/>
      <c r="HM53" s="62"/>
      <c r="HN53" s="62"/>
      <c r="HO53" s="62"/>
      <c r="HP53" s="62"/>
      <c r="HQ53" s="62"/>
      <c r="HR53" s="62"/>
      <c r="HS53" s="62"/>
      <c r="HT53" s="62"/>
      <c r="HU53" s="62"/>
      <c r="HV53" s="62"/>
      <c r="HW53" s="62"/>
      <c r="HX53" s="62"/>
      <c r="HY53" s="62"/>
      <c r="HZ53" s="62"/>
      <c r="IA53" s="62"/>
      <c r="IB53" s="62"/>
      <c r="IC53" s="62"/>
      <c r="ID53" s="62"/>
      <c r="IE53" s="62"/>
      <c r="IF53" s="62"/>
      <c r="IG53" s="62"/>
      <c r="IH53" s="62"/>
      <c r="II53" s="62"/>
      <c r="IJ53" s="62"/>
      <c r="IK53" s="62"/>
      <c r="IL53" s="62"/>
      <c r="IM53" s="62"/>
      <c r="IN53" s="62"/>
      <c r="IO53" s="62"/>
      <c r="IP53" s="62"/>
      <c r="IQ53" s="62"/>
      <c r="IR53" s="62"/>
      <c r="IS53" s="62"/>
      <c r="IT53" s="62"/>
      <c r="IU53" s="62"/>
      <c r="IV53" s="62"/>
    </row>
    <row r="54" spans="1:256" ht="13.5" x14ac:dyDescent="0.25">
      <c r="A54" s="41"/>
      <c r="B54" s="41"/>
      <c r="C54" s="41"/>
      <c r="D54" s="41"/>
      <c r="E54" s="41"/>
      <c r="F54" s="41"/>
      <c r="G54" s="41"/>
      <c r="H54" s="41"/>
      <c r="I54" s="41"/>
      <c r="J54" s="41"/>
      <c r="K54" s="41"/>
      <c r="L54" s="136"/>
      <c r="M54" s="136"/>
      <c r="N54" s="393"/>
      <c r="O54" s="393"/>
      <c r="U54" s="470" t="s">
        <v>882</v>
      </c>
      <c r="V54" s="474">
        <f>621.98*$V$32*$V$48*V53/($W$42-$V$32*$V$48*V53)</f>
        <v>6.8475686416072854</v>
      </c>
      <c r="W54" s="474">
        <f t="shared" ref="W54:CI54" si="6">621.98*$V$32*$V$48*W53/($W$42-$V$32*$V$48*W53)</f>
        <v>6.9684868793159254</v>
      </c>
      <c r="X54" s="474">
        <f t="shared" si="6"/>
        <v>7.0533523664806488</v>
      </c>
      <c r="Y54" s="474">
        <f t="shared" si="6"/>
        <v>7.1127025208263097</v>
      </c>
      <c r="Z54" s="474">
        <f t="shared" si="6"/>
        <v>7.1541067537571461</v>
      </c>
      <c r="AA54" s="474">
        <f t="shared" si="6"/>
        <v>7.1829424141537626</v>
      </c>
      <c r="AB54" s="474">
        <f t="shared" si="6"/>
        <v>7.2030012044947895</v>
      </c>
      <c r="AC54" s="474">
        <f t="shared" si="6"/>
        <v>7.2169432419937847</v>
      </c>
      <c r="AD54" s="474">
        <f t="shared" si="6"/>
        <v>7.2266283165418814</v>
      </c>
      <c r="AE54" s="474">
        <f t="shared" si="6"/>
        <v>7.2333535912462645</v>
      </c>
      <c r="AF54" s="474">
        <f t="shared" si="6"/>
        <v>7.2380223288046084</v>
      </c>
      <c r="AG54" s="474">
        <f t="shared" si="6"/>
        <v>7.241262793738934</v>
      </c>
      <c r="AH54" s="474">
        <f t="shared" si="6"/>
        <v>7.2435116340537542</v>
      </c>
      <c r="AI54" s="474">
        <f t="shared" si="6"/>
        <v>7.2450721588371243</v>
      </c>
      <c r="AJ54" s="474">
        <f t="shared" si="6"/>
        <v>7.2461549769270714</v>
      </c>
      <c r="AK54" s="474">
        <f t="shared" si="6"/>
        <v>7.2469062908767956</v>
      </c>
      <c r="AL54" s="474">
        <f t="shared" si="6"/>
        <v>7.2474275747662942</v>
      </c>
      <c r="AM54" s="474">
        <f t="shared" si="6"/>
        <v>7.2477892494132377</v>
      </c>
      <c r="AN54" s="474">
        <f t="shared" si="6"/>
        <v>7.2480401811107633</v>
      </c>
      <c r="AO54" s="474">
        <f t="shared" si="6"/>
        <v>7.2482142770370395</v>
      </c>
      <c r="AP54" s="474">
        <f t="shared" si="6"/>
        <v>7.248335063609975</v>
      </c>
      <c r="AQ54" s="474">
        <f t="shared" si="6"/>
        <v>7.2484188641089276</v>
      </c>
      <c r="AR54" s="474">
        <f t="shared" si="6"/>
        <v>7.2484770038492519</v>
      </c>
      <c r="AS54" s="474">
        <f t="shared" si="6"/>
        <v>7.2485173403815768</v>
      </c>
      <c r="AT54" s="474">
        <f t="shared" si="6"/>
        <v>7.2485453252537146</v>
      </c>
      <c r="AU54" s="474">
        <f t="shared" si="6"/>
        <v>7.2485647407102896</v>
      </c>
      <c r="AV54" s="474">
        <f t="shared" si="6"/>
        <v>7.2485782108329246</v>
      </c>
      <c r="AW54" s="474">
        <f t="shared" si="6"/>
        <v>7.2485875561761199</v>
      </c>
      <c r="AX54" s="474">
        <f t="shared" si="6"/>
        <v>7.2485940398148072</v>
      </c>
      <c r="AY54" s="474">
        <f t="shared" si="6"/>
        <v>7.2485985380507376</v>
      </c>
      <c r="AZ54" s="474">
        <f t="shared" si="6"/>
        <v>7.2486016588481768</v>
      </c>
      <c r="BA54" s="474">
        <f t="shared" si="6"/>
        <v>7.2486038240026591</v>
      </c>
      <c r="BB54" s="474">
        <f t="shared" si="6"/>
        <v>7.248605326148617</v>
      </c>
      <c r="BC54" s="474">
        <f t="shared" si="6"/>
        <v>7.2486063683110311</v>
      </c>
      <c r="BD54" s="474">
        <f t="shared" si="6"/>
        <v>7.2486070913447502</v>
      </c>
      <c r="BE54" s="474">
        <f t="shared" si="6"/>
        <v>7.2486075929728067</v>
      </c>
      <c r="BF54" s="474">
        <f t="shared" si="6"/>
        <v>7.2486079409934705</v>
      </c>
      <c r="BG54" s="474"/>
      <c r="BH54" s="474">
        <f t="shared" si="6"/>
        <v>7.2486081824440234</v>
      </c>
      <c r="BI54" s="474">
        <f t="shared" si="6"/>
        <v>7.2486083499580971</v>
      </c>
      <c r="BJ54" s="474">
        <f t="shared" si="6"/>
        <v>7.2486084661764023</v>
      </c>
      <c r="BK54" s="474">
        <f t="shared" si="6"/>
        <v>7.2486085468066257</v>
      </c>
      <c r="BL54" s="474">
        <f t="shared" si="6"/>
        <v>7.2486086027463852</v>
      </c>
      <c r="BM54" s="474">
        <f t="shared" si="6"/>
        <v>7.2486086415564674</v>
      </c>
      <c r="BN54" s="474">
        <f t="shared" si="6"/>
        <v>7.24860866848217</v>
      </c>
      <c r="BO54" s="474">
        <f t="shared" si="6"/>
        <v>7.248608687162668</v>
      </c>
      <c r="BP54" s="474">
        <f t="shared" si="6"/>
        <v>7.248608700123035</v>
      </c>
      <c r="BQ54" s="474">
        <f t="shared" si="6"/>
        <v>7.2486087091145874</v>
      </c>
      <c r="BR54" s="474">
        <f t="shared" si="6"/>
        <v>7.2486087153527174</v>
      </c>
      <c r="BS54" s="474">
        <f t="shared" si="6"/>
        <v>7.2486087196807949</v>
      </c>
      <c r="BT54" s="474">
        <f t="shared" si="6"/>
        <v>7.2486087226834588</v>
      </c>
      <c r="BU54" s="474">
        <f t="shared" si="6"/>
        <v>7.2486087247666315</v>
      </c>
      <c r="BV54" s="474">
        <f t="shared" si="6"/>
        <v>7.248608726211911</v>
      </c>
      <c r="BW54" s="474">
        <f t="shared" si="6"/>
        <v>7.2486087272145614</v>
      </c>
      <c r="BX54" s="474">
        <f t="shared" si="6"/>
        <v>7.2486087279102378</v>
      </c>
      <c r="BY54" s="474">
        <f t="shared" si="6"/>
        <v>7.2486087283929086</v>
      </c>
      <c r="BZ54" s="474">
        <f t="shared" si="6"/>
        <v>7.2486087287277332</v>
      </c>
      <c r="CA54" s="474">
        <f t="shared" si="6"/>
        <v>7.2486087289600443</v>
      </c>
      <c r="CB54" s="474">
        <f t="shared" si="6"/>
        <v>7.2486087291212291</v>
      </c>
      <c r="CC54" s="474">
        <f t="shared" si="6"/>
        <v>7.2486087292330454</v>
      </c>
      <c r="CD54" s="474">
        <f t="shared" si="6"/>
        <v>7.2486087293106047</v>
      </c>
      <c r="CE54" s="474">
        <f t="shared" si="6"/>
        <v>7.2486087293644799</v>
      </c>
      <c r="CF54" s="474">
        <f t="shared" si="6"/>
        <v>7.2486087294017878</v>
      </c>
      <c r="CG54" s="474">
        <f t="shared" si="6"/>
        <v>7.2486087294276835</v>
      </c>
      <c r="CH54" s="474">
        <f t="shared" si="6"/>
        <v>7.2486087294456851</v>
      </c>
      <c r="CI54" s="474">
        <f t="shared" si="6"/>
        <v>7.248608729458164</v>
      </c>
      <c r="CJ54" s="474">
        <f t="shared" ref="CJ54:EL54" si="7">621.98*$V$32*$V$48*CJ53/($W$42-$V$32*$V$48*CJ53)</f>
        <v>7.2486087294667874</v>
      </c>
      <c r="CK54" s="474">
        <f t="shared" si="7"/>
        <v>7.2486087294728039</v>
      </c>
      <c r="CL54" s="474">
        <f t="shared" si="7"/>
        <v>7.248608729476949</v>
      </c>
      <c r="CM54" s="474">
        <f t="shared" si="7"/>
        <v>7.2486087294798658</v>
      </c>
      <c r="CN54" s="474">
        <f t="shared" si="7"/>
        <v>7.2486087294818198</v>
      </c>
      <c r="CO54" s="474">
        <f t="shared" si="7"/>
        <v>7.2486087294832258</v>
      </c>
      <c r="CP54" s="474">
        <f t="shared" si="7"/>
        <v>7.2486087294841903</v>
      </c>
      <c r="CQ54" s="474">
        <f t="shared" si="7"/>
        <v>7.2486087294848671</v>
      </c>
      <c r="CR54" s="474">
        <f t="shared" si="7"/>
        <v>7.2486087294853379</v>
      </c>
      <c r="CS54" s="474">
        <f t="shared" si="7"/>
        <v>7.2486087294857002</v>
      </c>
      <c r="CT54" s="474">
        <f t="shared" si="7"/>
        <v>7.2486087294858308</v>
      </c>
      <c r="CU54" s="474">
        <f t="shared" si="7"/>
        <v>7.2486087294860653</v>
      </c>
      <c r="CV54" s="474">
        <f t="shared" si="7"/>
        <v>7.2486087294861701</v>
      </c>
      <c r="CW54" s="474">
        <f t="shared" si="7"/>
        <v>7.2486087294861967</v>
      </c>
      <c r="CX54" s="474">
        <f t="shared" si="7"/>
        <v>7.2486087294862225</v>
      </c>
      <c r="CY54" s="474">
        <f t="shared" si="7"/>
        <v>7.2486087294862998</v>
      </c>
      <c r="CZ54" s="474">
        <f t="shared" si="7"/>
        <v>7.2486087294862998</v>
      </c>
      <c r="DA54" s="474">
        <f t="shared" si="7"/>
        <v>7.2486087294862998</v>
      </c>
      <c r="DB54" s="474">
        <f t="shared" si="7"/>
        <v>7.2486087294864303</v>
      </c>
      <c r="DC54" s="474">
        <f t="shared" si="7"/>
        <v>7.2486087294864303</v>
      </c>
      <c r="DD54" s="474">
        <f t="shared" si="7"/>
        <v>7.2486087294864303</v>
      </c>
      <c r="DE54" s="474">
        <f t="shared" si="7"/>
        <v>7.2486087294864303</v>
      </c>
      <c r="DF54" s="474">
        <f t="shared" si="7"/>
        <v>7.2486087294864303</v>
      </c>
      <c r="DG54" s="474">
        <f t="shared" si="7"/>
        <v>7.2486087294864303</v>
      </c>
      <c r="DH54" s="474">
        <f t="shared" si="7"/>
        <v>7.2486087294864303</v>
      </c>
      <c r="DI54" s="474">
        <f t="shared" si="7"/>
        <v>7.2486087294864303</v>
      </c>
      <c r="DJ54" s="474">
        <f t="shared" si="7"/>
        <v>7.2486087294864303</v>
      </c>
      <c r="DK54" s="474">
        <f t="shared" si="7"/>
        <v>7.2486087294864303</v>
      </c>
      <c r="DL54" s="474">
        <f t="shared" si="7"/>
        <v>7.2486087294864303</v>
      </c>
      <c r="DM54" s="474">
        <f t="shared" si="7"/>
        <v>7.2486087294864303</v>
      </c>
      <c r="DN54" s="474">
        <f t="shared" si="7"/>
        <v>7.2486087294864303</v>
      </c>
      <c r="DO54" s="474">
        <f t="shared" si="7"/>
        <v>7.2486087294864303</v>
      </c>
      <c r="DP54" s="474">
        <f t="shared" si="7"/>
        <v>7.2486087294864303</v>
      </c>
      <c r="DQ54" s="474">
        <f t="shared" si="7"/>
        <v>7.2486087294864303</v>
      </c>
      <c r="DR54" s="474">
        <f t="shared" si="7"/>
        <v>7.2486087294864303</v>
      </c>
      <c r="DS54" s="474">
        <f t="shared" si="7"/>
        <v>7.2486087294864303</v>
      </c>
      <c r="DT54" s="474">
        <f t="shared" si="7"/>
        <v>7.2486087294864303</v>
      </c>
      <c r="DU54" s="474">
        <f t="shared" si="7"/>
        <v>7.2486087294864303</v>
      </c>
      <c r="DV54" s="474">
        <f t="shared" si="7"/>
        <v>7.2486087294864303</v>
      </c>
      <c r="DW54" s="474">
        <f t="shared" si="7"/>
        <v>7.2486087294864303</v>
      </c>
      <c r="DX54" s="474">
        <f t="shared" si="7"/>
        <v>7.2486087294864303</v>
      </c>
      <c r="DY54" s="474">
        <f t="shared" si="7"/>
        <v>7.2486087294864303</v>
      </c>
      <c r="DZ54" s="474">
        <f t="shared" si="7"/>
        <v>7.2486087294864303</v>
      </c>
      <c r="EA54" s="474">
        <f t="shared" si="7"/>
        <v>7.2486087294864303</v>
      </c>
      <c r="EB54" s="474">
        <f t="shared" si="7"/>
        <v>7.2486087294864303</v>
      </c>
      <c r="EC54" s="474">
        <f t="shared" si="7"/>
        <v>7.2486087294864303</v>
      </c>
      <c r="ED54" s="474">
        <f t="shared" si="7"/>
        <v>7.2486087294864303</v>
      </c>
      <c r="EE54" s="474">
        <f t="shared" si="7"/>
        <v>7.2486087294864303</v>
      </c>
      <c r="EF54" s="474">
        <f t="shared" si="7"/>
        <v>7.2486087294864303</v>
      </c>
      <c r="EG54" s="474">
        <f t="shared" si="7"/>
        <v>7.2486087294864303</v>
      </c>
      <c r="EH54" s="474">
        <f t="shared" si="7"/>
        <v>7.2486087294864303</v>
      </c>
      <c r="EI54" s="474">
        <f t="shared" si="7"/>
        <v>7.2486087294864303</v>
      </c>
      <c r="EJ54" s="474">
        <f t="shared" si="7"/>
        <v>7.2486087294864303</v>
      </c>
      <c r="EK54" s="474">
        <f t="shared" si="7"/>
        <v>7.2486087294864303</v>
      </c>
      <c r="EL54" s="474">
        <f t="shared" si="7"/>
        <v>7.2486087294864303</v>
      </c>
      <c r="EM54" s="62"/>
      <c r="EN54" s="62"/>
      <c r="EO54" s="62"/>
      <c r="EP54" s="62"/>
      <c r="EQ54" s="62"/>
      <c r="ER54" s="62"/>
      <c r="ES54" s="62"/>
      <c r="ET54" s="62"/>
      <c r="EU54" s="62"/>
      <c r="EV54" s="62"/>
      <c r="EW54" s="62"/>
      <c r="EX54" s="62"/>
      <c r="EY54" s="62"/>
      <c r="EZ54" s="62"/>
      <c r="FA54" s="62"/>
      <c r="FB54" s="62"/>
      <c r="FC54" s="62"/>
      <c r="FD54" s="62"/>
      <c r="FE54" s="62"/>
      <c r="FF54" s="62"/>
      <c r="FG54" s="62"/>
      <c r="FH54" s="62"/>
      <c r="FI54" s="62"/>
      <c r="FJ54" s="62"/>
      <c r="FK54" s="62"/>
      <c r="FL54" s="62"/>
      <c r="FM54" s="62"/>
      <c r="FN54" s="62"/>
      <c r="FO54" s="62"/>
      <c r="FP54" s="62"/>
      <c r="FQ54" s="62"/>
      <c r="FR54" s="62"/>
      <c r="FS54" s="62"/>
      <c r="FT54" s="62"/>
      <c r="FU54" s="62"/>
      <c r="FV54" s="62"/>
      <c r="FW54" s="62"/>
      <c r="FX54" s="62"/>
      <c r="FY54" s="62"/>
      <c r="FZ54" s="62"/>
      <c r="GA54" s="62"/>
      <c r="GB54" s="62"/>
      <c r="GC54" s="62"/>
      <c r="GD54" s="62"/>
      <c r="GE54" s="62"/>
      <c r="GF54" s="62"/>
      <c r="GG54" s="62"/>
      <c r="GH54" s="62"/>
      <c r="GI54" s="62"/>
      <c r="GJ54" s="62"/>
      <c r="GK54" s="62"/>
      <c r="GL54" s="62"/>
      <c r="GM54" s="62"/>
      <c r="GN54" s="62"/>
      <c r="GO54" s="62"/>
      <c r="GP54" s="62"/>
      <c r="GQ54" s="62"/>
      <c r="GR54" s="62"/>
      <c r="GS54" s="62"/>
      <c r="GT54" s="62"/>
      <c r="GU54" s="62"/>
      <c r="GV54" s="62"/>
      <c r="GW54" s="62"/>
      <c r="GX54" s="62"/>
      <c r="GY54" s="62"/>
      <c r="GZ54" s="62"/>
      <c r="HA54" s="62"/>
      <c r="HB54" s="62"/>
      <c r="HC54" s="62"/>
      <c r="HD54" s="62"/>
      <c r="HE54" s="62"/>
      <c r="HF54" s="62"/>
      <c r="HG54" s="62"/>
      <c r="HH54" s="62"/>
      <c r="HI54" s="62"/>
      <c r="HJ54" s="62"/>
      <c r="HK54" s="62"/>
      <c r="HL54" s="62"/>
      <c r="HM54" s="62"/>
      <c r="HN54" s="62"/>
      <c r="HO54" s="62"/>
      <c r="HP54" s="62"/>
      <c r="HQ54" s="62"/>
      <c r="HR54" s="62"/>
      <c r="HS54" s="62"/>
      <c r="HT54" s="62"/>
      <c r="HU54" s="62"/>
      <c r="HV54" s="62"/>
      <c r="HW54" s="62"/>
      <c r="HX54" s="62"/>
      <c r="HY54" s="62"/>
      <c r="HZ54" s="62"/>
      <c r="IA54" s="62"/>
      <c r="IB54" s="62"/>
      <c r="IC54" s="62"/>
      <c r="ID54" s="62"/>
      <c r="IE54" s="62"/>
      <c r="IF54" s="62"/>
      <c r="IG54" s="62"/>
      <c r="IH54" s="62"/>
      <c r="II54" s="62"/>
      <c r="IJ54" s="62"/>
      <c r="IK54" s="62"/>
      <c r="IL54" s="62"/>
      <c r="IM54" s="62"/>
      <c r="IN54" s="62"/>
      <c r="IO54" s="62"/>
      <c r="IP54" s="62"/>
      <c r="IQ54" s="62"/>
      <c r="IR54" s="62"/>
      <c r="IS54" s="62"/>
      <c r="IT54" s="62"/>
      <c r="IU54" s="62"/>
      <c r="IV54" s="62"/>
    </row>
    <row r="55" spans="1:256" ht="13.5" x14ac:dyDescent="0.25">
      <c r="A55" s="41"/>
      <c r="B55" s="41"/>
      <c r="C55" s="41"/>
      <c r="D55" s="41"/>
      <c r="E55" s="41"/>
      <c r="F55" s="41"/>
      <c r="G55" s="41"/>
      <c r="H55" s="41"/>
      <c r="I55" s="41"/>
      <c r="J55" s="41"/>
      <c r="K55" s="41"/>
      <c r="L55" s="172"/>
      <c r="M55" s="172"/>
      <c r="N55" s="394"/>
      <c r="O55" s="393"/>
      <c r="U55" s="478" t="s">
        <v>921</v>
      </c>
      <c r="V55" s="472">
        <f>($V$49*($V$28+$V$29*(V54/1000))+((V54-$V$50)/1000)*(2685-$V$30))/($V$28+$V$29*(V54/1000))</f>
        <v>19.833997481671961</v>
      </c>
      <c r="W55" s="472">
        <f t="shared" ref="W55:CH55" si="8">($V$49*($V$28+$V$29*(W54/1000))+((W54-$V$50)/1000)*(2685-$V$30))/($V$28+$V$29*(W54/1000))</f>
        <v>19.855662165841171</v>
      </c>
      <c r="X55" s="472">
        <f t="shared" si="8"/>
        <v>19.870861805242207</v>
      </c>
      <c r="Y55" s="472">
        <f t="shared" si="8"/>
        <v>19.881488863323387</v>
      </c>
      <c r="Z55" s="472">
        <f t="shared" si="8"/>
        <v>19.888901256067356</v>
      </c>
      <c r="AA55" s="472">
        <f t="shared" si="8"/>
        <v>19.894062917819653</v>
      </c>
      <c r="AB55" s="472">
        <f t="shared" si="8"/>
        <v>19.897653184950311</v>
      </c>
      <c r="AC55" s="472">
        <f t="shared" si="8"/>
        <v>19.900148481201221</v>
      </c>
      <c r="AD55" s="472">
        <f t="shared" si="8"/>
        <v>19.901881808831302</v>
      </c>
      <c r="AE55" s="472">
        <f t="shared" si="8"/>
        <v>19.903085389203618</v>
      </c>
      <c r="AF55" s="472">
        <f t="shared" si="8"/>
        <v>19.903920907116589</v>
      </c>
      <c r="AG55" s="472">
        <f t="shared" si="8"/>
        <v>19.904500813041128</v>
      </c>
      <c r="AH55" s="472">
        <f t="shared" si="8"/>
        <v>19.904903256261086</v>
      </c>
      <c r="AI55" s="472">
        <f t="shared" si="8"/>
        <v>19.905182519478277</v>
      </c>
      <c r="AJ55" s="472">
        <f t="shared" si="8"/>
        <v>19.905376293938559</v>
      </c>
      <c r="AK55" s="472">
        <f t="shared" si="8"/>
        <v>19.905510744021647</v>
      </c>
      <c r="AL55" s="472">
        <f t="shared" si="8"/>
        <v>19.905604029264527</v>
      </c>
      <c r="AM55" s="472">
        <f t="shared" si="8"/>
        <v>19.905668751875751</v>
      </c>
      <c r="AN55" s="472">
        <f t="shared" si="8"/>
        <v>19.905713656701728</v>
      </c>
      <c r="AO55" s="472">
        <f t="shared" si="8"/>
        <v>19.905744811559661</v>
      </c>
      <c r="AP55" s="472">
        <f t="shared" si="8"/>
        <v>19.905766426577518</v>
      </c>
      <c r="AQ55" s="472">
        <f t="shared" si="8"/>
        <v>19.905781422852186</v>
      </c>
      <c r="AR55" s="472">
        <f t="shared" si="8"/>
        <v>19.905791827077785</v>
      </c>
      <c r="AS55" s="472">
        <f t="shared" si="8"/>
        <v>19.905799045381585</v>
      </c>
      <c r="AT55" s="472">
        <f t="shared" si="8"/>
        <v>19.905804053330286</v>
      </c>
      <c r="AU55" s="472">
        <f t="shared" si="8"/>
        <v>19.905807527764686</v>
      </c>
      <c r="AV55" s="472">
        <f t="shared" si="8"/>
        <v>19.905809938269662</v>
      </c>
      <c r="AW55" s="472">
        <f t="shared" si="8"/>
        <v>19.905811610637166</v>
      </c>
      <c r="AX55" s="472">
        <f t="shared" si="8"/>
        <v>19.905812770897001</v>
      </c>
      <c r="AY55" s="472">
        <f t="shared" si="8"/>
        <v>19.905813575865107</v>
      </c>
      <c r="AZ55" s="472">
        <f t="shared" si="8"/>
        <v>19.905814134337898</v>
      </c>
      <c r="BA55" s="472">
        <f t="shared" si="8"/>
        <v>19.905814521796518</v>
      </c>
      <c r="BB55" s="477">
        <f t="shared" si="8"/>
        <v>19.905814790608467</v>
      </c>
      <c r="BC55" s="477">
        <f t="shared" si="8"/>
        <v>19.905814977105454</v>
      </c>
      <c r="BD55" s="477">
        <f t="shared" si="8"/>
        <v>19.905815106493751</v>
      </c>
      <c r="BE55" s="477">
        <f t="shared" si="8"/>
        <v>19.905815196261067</v>
      </c>
      <c r="BF55" s="477">
        <f t="shared" si="8"/>
        <v>19.905815258540041</v>
      </c>
      <c r="BG55" s="477"/>
      <c r="BH55" s="477">
        <f t="shared" si="8"/>
        <v>19.905815301748088</v>
      </c>
      <c r="BI55" s="477">
        <f t="shared" si="8"/>
        <v>19.905815331725059</v>
      </c>
      <c r="BJ55" s="477">
        <f t="shared" si="8"/>
        <v>19.905815352522549</v>
      </c>
      <c r="BK55" s="477">
        <f t="shared" si="8"/>
        <v>19.905815366951483</v>
      </c>
      <c r="BL55" s="477">
        <f t="shared" si="8"/>
        <v>19.905815376962014</v>
      </c>
      <c r="BM55" s="477">
        <f t="shared" si="8"/>
        <v>19.90581538390715</v>
      </c>
      <c r="BN55" s="477">
        <f t="shared" si="8"/>
        <v>19.905815388725561</v>
      </c>
      <c r="BO55" s="477">
        <f t="shared" si="8"/>
        <v>19.905815392068472</v>
      </c>
      <c r="BP55" s="477">
        <f t="shared" si="8"/>
        <v>19.905815394387755</v>
      </c>
      <c r="BQ55" s="477">
        <f t="shared" si="8"/>
        <v>19.905815395996811</v>
      </c>
      <c r="BR55" s="477">
        <f t="shared" si="8"/>
        <v>19.905815397113138</v>
      </c>
      <c r="BS55" s="477">
        <f t="shared" si="8"/>
        <v>19.905815397887654</v>
      </c>
      <c r="BT55" s="477">
        <f t="shared" si="8"/>
        <v>19.905815398424988</v>
      </c>
      <c r="BU55" s="477">
        <f t="shared" si="8"/>
        <v>19.905815398797774</v>
      </c>
      <c r="BV55" s="477">
        <f t="shared" si="8"/>
        <v>19.905815399056408</v>
      </c>
      <c r="BW55" s="477">
        <f t="shared" si="8"/>
        <v>19.905815399235838</v>
      </c>
      <c r="BX55" s="477">
        <f t="shared" si="8"/>
        <v>19.905815399360328</v>
      </c>
      <c r="BY55" s="477">
        <f t="shared" si="8"/>
        <v>19.905815399446706</v>
      </c>
      <c r="BZ55" s="477">
        <f t="shared" si="8"/>
        <v>19.905815399506622</v>
      </c>
      <c r="CA55" s="477">
        <f t="shared" si="8"/>
        <v>19.905815399548196</v>
      </c>
      <c r="CB55" s="477">
        <f t="shared" si="8"/>
        <v>19.905815399577037</v>
      </c>
      <c r="CC55" s="477">
        <f t="shared" si="8"/>
        <v>19.905815399597049</v>
      </c>
      <c r="CD55" s="477">
        <f t="shared" si="8"/>
        <v>19.90581539961093</v>
      </c>
      <c r="CE55" s="477">
        <f t="shared" si="8"/>
        <v>19.905815399620568</v>
      </c>
      <c r="CF55" s="477">
        <f t="shared" si="8"/>
        <v>19.905815399627244</v>
      </c>
      <c r="CG55" s="477">
        <f t="shared" si="8"/>
        <v>19.90581539963188</v>
      </c>
      <c r="CH55" s="477">
        <f t="shared" si="8"/>
        <v>19.905815399635102</v>
      </c>
      <c r="CI55" s="477">
        <f t="shared" ref="CI55:EL55" si="9">($V$49*($V$28+$V$29*(CI54/1000))+((CI54-$V$50)/1000)*(2685-$V$30))/($V$28+$V$29*(CI54/1000))</f>
        <v>19.905815399637333</v>
      </c>
      <c r="CJ55" s="477">
        <f t="shared" si="9"/>
        <v>19.905815399638875</v>
      </c>
      <c r="CK55" s="477">
        <f t="shared" si="9"/>
        <v>19.905815399639952</v>
      </c>
      <c r="CL55" s="477">
        <f t="shared" si="9"/>
        <v>19.905815399640694</v>
      </c>
      <c r="CM55" s="477">
        <f t="shared" si="9"/>
        <v>19.905815399641217</v>
      </c>
      <c r="CN55" s="477">
        <f t="shared" si="9"/>
        <v>19.905815399641565</v>
      </c>
      <c r="CO55" s="477">
        <f t="shared" si="9"/>
        <v>19.905815399641817</v>
      </c>
      <c r="CP55" s="477">
        <f t="shared" si="9"/>
        <v>19.905815399641991</v>
      </c>
      <c r="CQ55" s="477">
        <f t="shared" si="9"/>
        <v>19.905815399642112</v>
      </c>
      <c r="CR55" s="477">
        <f t="shared" si="9"/>
        <v>19.905815399642194</v>
      </c>
      <c r="CS55" s="477">
        <f t="shared" si="9"/>
        <v>19.905815399642261</v>
      </c>
      <c r="CT55" s="477">
        <f t="shared" si="9"/>
        <v>19.905815399642282</v>
      </c>
      <c r="CU55" s="477">
        <f t="shared" si="9"/>
        <v>19.905815399642329</v>
      </c>
      <c r="CV55" s="477">
        <f t="shared" si="9"/>
        <v>19.905815399642343</v>
      </c>
      <c r="CW55" s="477">
        <f t="shared" si="9"/>
        <v>19.90581539964235</v>
      </c>
      <c r="CX55" s="477">
        <f t="shared" si="9"/>
        <v>19.905815399642353</v>
      </c>
      <c r="CY55" s="477">
        <f t="shared" si="9"/>
        <v>19.905815399642368</v>
      </c>
      <c r="CZ55" s="477">
        <f t="shared" si="9"/>
        <v>19.905815399642368</v>
      </c>
      <c r="DA55" s="477">
        <f t="shared" si="9"/>
        <v>19.905815399642368</v>
      </c>
      <c r="DB55" s="477">
        <f t="shared" si="9"/>
        <v>19.905815399642393</v>
      </c>
      <c r="DC55" s="477">
        <f t="shared" si="9"/>
        <v>19.905815399642393</v>
      </c>
      <c r="DD55" s="477">
        <f t="shared" si="9"/>
        <v>19.905815399642393</v>
      </c>
      <c r="DE55" s="477">
        <f t="shared" si="9"/>
        <v>19.905815399642393</v>
      </c>
      <c r="DF55" s="477">
        <f t="shared" si="9"/>
        <v>19.905815399642393</v>
      </c>
      <c r="DG55" s="477">
        <f t="shared" si="9"/>
        <v>19.905815399642393</v>
      </c>
      <c r="DH55" s="477">
        <f t="shared" si="9"/>
        <v>19.905815399642393</v>
      </c>
      <c r="DI55" s="477">
        <f t="shared" si="9"/>
        <v>19.905815399642393</v>
      </c>
      <c r="DJ55" s="477">
        <f t="shared" si="9"/>
        <v>19.905815399642393</v>
      </c>
      <c r="DK55" s="477">
        <f t="shared" si="9"/>
        <v>19.905815399642393</v>
      </c>
      <c r="DL55" s="477">
        <f t="shared" si="9"/>
        <v>19.905815399642393</v>
      </c>
      <c r="DM55" s="477">
        <f t="shared" si="9"/>
        <v>19.905815399642393</v>
      </c>
      <c r="DN55" s="477">
        <f t="shared" si="9"/>
        <v>19.905815399642393</v>
      </c>
      <c r="DO55" s="477">
        <f t="shared" si="9"/>
        <v>19.905815399642393</v>
      </c>
      <c r="DP55" s="477">
        <f t="shared" si="9"/>
        <v>19.905815399642393</v>
      </c>
      <c r="DQ55" s="477">
        <f t="shared" si="9"/>
        <v>19.905815399642393</v>
      </c>
      <c r="DR55" s="477">
        <f t="shared" si="9"/>
        <v>19.905815399642393</v>
      </c>
      <c r="DS55" s="477">
        <f t="shared" si="9"/>
        <v>19.905815399642393</v>
      </c>
      <c r="DT55" s="477">
        <f t="shared" si="9"/>
        <v>19.905815399642393</v>
      </c>
      <c r="DU55" s="477">
        <f t="shared" si="9"/>
        <v>19.905815399642393</v>
      </c>
      <c r="DV55" s="477">
        <f t="shared" si="9"/>
        <v>19.905815399642393</v>
      </c>
      <c r="DW55" s="477">
        <f t="shared" si="9"/>
        <v>19.905815399642393</v>
      </c>
      <c r="DX55" s="477">
        <f t="shared" si="9"/>
        <v>19.905815399642393</v>
      </c>
      <c r="DY55" s="477">
        <f t="shared" si="9"/>
        <v>19.905815399642393</v>
      </c>
      <c r="DZ55" s="477">
        <f t="shared" si="9"/>
        <v>19.905815399642393</v>
      </c>
      <c r="EA55" s="477">
        <f t="shared" si="9"/>
        <v>19.905815399642393</v>
      </c>
      <c r="EB55" s="477">
        <f t="shared" si="9"/>
        <v>19.905815399642393</v>
      </c>
      <c r="EC55" s="477">
        <f t="shared" si="9"/>
        <v>19.905815399642393</v>
      </c>
      <c r="ED55" s="477">
        <f t="shared" si="9"/>
        <v>19.905815399642393</v>
      </c>
      <c r="EE55" s="477">
        <f t="shared" si="9"/>
        <v>19.905815399642393</v>
      </c>
      <c r="EF55" s="477">
        <f t="shared" si="9"/>
        <v>19.905815399642393</v>
      </c>
      <c r="EG55" s="477">
        <f t="shared" si="9"/>
        <v>19.905815399642393</v>
      </c>
      <c r="EH55" s="477">
        <f t="shared" si="9"/>
        <v>19.905815399642393</v>
      </c>
      <c r="EI55" s="477">
        <f t="shared" si="9"/>
        <v>19.905815399642393</v>
      </c>
      <c r="EJ55" s="477">
        <f t="shared" si="9"/>
        <v>19.905815399642393</v>
      </c>
      <c r="EK55" s="477">
        <f t="shared" si="9"/>
        <v>19.905815399642393</v>
      </c>
      <c r="EL55" s="477">
        <f t="shared" si="9"/>
        <v>19.905815399642393</v>
      </c>
      <c r="EM55" s="62"/>
      <c r="EN55" s="62"/>
      <c r="EO55" s="62"/>
      <c r="EP55" s="62"/>
      <c r="EQ55" s="62"/>
      <c r="ER55" s="62"/>
      <c r="ES55" s="62"/>
      <c r="ET55" s="62"/>
      <c r="EU55" s="62"/>
      <c r="EV55" s="62"/>
      <c r="EW55" s="62"/>
      <c r="EX55" s="62"/>
      <c r="EY55" s="62"/>
      <c r="EZ55" s="62"/>
      <c r="FA55" s="62"/>
      <c r="FB55" s="62"/>
      <c r="FC55" s="62"/>
      <c r="FD55" s="62"/>
      <c r="FE55" s="62"/>
      <c r="FF55" s="62"/>
      <c r="FG55" s="62"/>
      <c r="FH55" s="62"/>
      <c r="FI55" s="62"/>
      <c r="FJ55" s="62"/>
      <c r="FK55" s="62"/>
      <c r="FL55" s="62"/>
      <c r="FM55" s="62"/>
      <c r="FN55" s="62"/>
      <c r="FO55" s="62"/>
      <c r="FP55" s="62"/>
      <c r="FQ55" s="62"/>
      <c r="FR55" s="62"/>
      <c r="FS55" s="62"/>
      <c r="FT55" s="62"/>
      <c r="FU55" s="62"/>
      <c r="FV55" s="62"/>
      <c r="FW55" s="62"/>
      <c r="FX55" s="62"/>
      <c r="FY55" s="62"/>
      <c r="FZ55" s="62"/>
      <c r="GA55" s="62"/>
      <c r="GB55" s="62"/>
      <c r="GC55" s="62"/>
      <c r="GD55" s="62"/>
      <c r="GE55" s="62"/>
      <c r="GF55" s="62"/>
      <c r="GG55" s="62"/>
      <c r="GH55" s="62"/>
      <c r="GI55" s="62"/>
      <c r="GJ55" s="62"/>
      <c r="GK55" s="62"/>
      <c r="GL55" s="62"/>
      <c r="GM55" s="62"/>
      <c r="GN55" s="62"/>
      <c r="GO55" s="62"/>
      <c r="GP55" s="62"/>
      <c r="GQ55" s="62"/>
      <c r="GR55" s="62"/>
      <c r="GS55" s="62"/>
      <c r="GT55" s="62"/>
      <c r="GU55" s="62"/>
      <c r="GV55" s="62"/>
      <c r="GW55" s="62"/>
      <c r="GX55" s="62"/>
      <c r="GY55" s="62"/>
      <c r="GZ55" s="62"/>
      <c r="HA55" s="62"/>
      <c r="HB55" s="62"/>
      <c r="HC55" s="62"/>
      <c r="HD55" s="62"/>
      <c r="HE55" s="62"/>
      <c r="HF55" s="62"/>
      <c r="HG55" s="62"/>
      <c r="HH55" s="62"/>
      <c r="HI55" s="62"/>
      <c r="HJ55" s="62"/>
      <c r="HK55" s="62"/>
      <c r="HL55" s="62"/>
      <c r="HM55" s="62"/>
      <c r="HN55" s="62"/>
      <c r="HO55" s="62"/>
      <c r="HP55" s="62"/>
      <c r="HQ55" s="62"/>
      <c r="HR55" s="62"/>
      <c r="HS55" s="62"/>
      <c r="HT55" s="62"/>
      <c r="HU55" s="62"/>
      <c r="HV55" s="62"/>
      <c r="HW55" s="62"/>
      <c r="HX55" s="62"/>
      <c r="HY55" s="62"/>
      <c r="HZ55" s="62"/>
      <c r="IA55" s="62"/>
      <c r="IB55" s="62"/>
      <c r="IC55" s="62"/>
      <c r="ID55" s="62"/>
      <c r="IE55" s="62"/>
      <c r="IF55" s="62"/>
      <c r="IG55" s="62"/>
      <c r="IH55" s="62"/>
      <c r="II55" s="62"/>
      <c r="IJ55" s="62"/>
      <c r="IK55" s="62"/>
      <c r="IL55" s="62"/>
      <c r="IM55" s="62"/>
      <c r="IN55" s="62"/>
      <c r="IO55" s="62"/>
      <c r="IP55" s="62"/>
      <c r="IQ55" s="62"/>
      <c r="IR55" s="62"/>
      <c r="IS55" s="62"/>
      <c r="IT55" s="62"/>
      <c r="IU55" s="62"/>
      <c r="IV55" s="62"/>
    </row>
    <row r="56" spans="1:256" x14ac:dyDescent="0.2">
      <c r="A56" s="41"/>
      <c r="B56" s="41"/>
      <c r="C56" s="41"/>
      <c r="D56" s="41"/>
      <c r="E56" s="41"/>
      <c r="F56" s="41"/>
      <c r="G56" s="41"/>
      <c r="H56" s="41"/>
      <c r="I56" s="41"/>
      <c r="J56" s="41"/>
      <c r="K56" s="41"/>
      <c r="L56" s="172"/>
      <c r="M56" s="172"/>
      <c r="N56" s="394"/>
      <c r="O56" s="393"/>
      <c r="U56" s="45" t="s">
        <v>924</v>
      </c>
      <c r="V56" s="472">
        <f>V55-V51</f>
        <v>0.83288116080925434</v>
      </c>
      <c r="W56" s="472">
        <f t="shared" ref="W56:CH56" si="10">W55-W51</f>
        <v>0.57691879137538038</v>
      </c>
      <c r="X56" s="472">
        <f t="shared" si="10"/>
        <v>0.39981216698462418</v>
      </c>
      <c r="Y56" s="472">
        <f t="shared" si="10"/>
        <v>0.27716850273759519</v>
      </c>
      <c r="Z56" s="472">
        <f t="shared" si="10"/>
        <v>0.19219139456903278</v>
      </c>
      <c r="AA56" s="472">
        <f t="shared" si="10"/>
        <v>0.13328925813165071</v>
      </c>
      <c r="AB56" s="472">
        <f t="shared" si="10"/>
        <v>9.2449772551759679E-2</v>
      </c>
      <c r="AC56" s="472">
        <f t="shared" si="10"/>
        <v>6.4128477952081653E-2</v>
      </c>
      <c r="AD56" s="472">
        <f t="shared" si="10"/>
        <v>4.4485646264803336E-2</v>
      </c>
      <c r="AE56" s="472">
        <f t="shared" si="10"/>
        <v>3.0860677882184717E-2</v>
      </c>
      <c r="AF56" s="472">
        <f t="shared" si="10"/>
        <v>2.1409303167761351E-2</v>
      </c>
      <c r="AG56" s="472">
        <f t="shared" si="10"/>
        <v>1.48527747030478E-2</v>
      </c>
      <c r="AH56" s="472">
        <f t="shared" si="10"/>
        <v>1.0304293021988542E-2</v>
      </c>
      <c r="AI56" s="472">
        <f t="shared" si="10"/>
        <v>7.1487918985155829E-3</v>
      </c>
      <c r="AJ56" s="472">
        <f t="shared" si="10"/>
        <v>4.9596357259602541E-3</v>
      </c>
      <c r="AK56" s="472">
        <f t="shared" si="10"/>
        <v>3.4408739003950473E-3</v>
      </c>
      <c r="AL56" s="472">
        <f t="shared" si="10"/>
        <v>2.3872011764751733E-3</v>
      </c>
      <c r="AM56" s="472">
        <f t="shared" si="10"/>
        <v>1.6561900622065195E-3</v>
      </c>
      <c r="AN56" s="472">
        <f t="shared" si="10"/>
        <v>1.1490315341156077E-3</v>
      </c>
      <c r="AO56" s="472">
        <f t="shared" si="10"/>
        <v>7.9717588067751421E-4</v>
      </c>
      <c r="AP56" s="472">
        <f t="shared" si="10"/>
        <v>5.530656049756999E-4</v>
      </c>
      <c r="AQ56" s="472">
        <f t="shared" si="10"/>
        <v>3.8370667798659497E-4</v>
      </c>
      <c r="AR56" s="472">
        <f t="shared" si="10"/>
        <v>2.6620867759064026E-4</v>
      </c>
      <c r="AS56" s="472">
        <f t="shared" si="10"/>
        <v>1.8469075552829395E-4</v>
      </c>
      <c r="AT56" s="472">
        <f t="shared" si="10"/>
        <v>1.281351190520752E-4</v>
      </c>
      <c r="AU56" s="472">
        <f t="shared" si="10"/>
        <v>8.8897847103197591E-5</v>
      </c>
      <c r="AV56" s="472">
        <f t="shared" si="10"/>
        <v>6.1675736379385171E-5</v>
      </c>
      <c r="AW56" s="472">
        <f t="shared" si="10"/>
        <v>4.2789525089403924E-5</v>
      </c>
      <c r="AX56" s="472">
        <f t="shared" si="10"/>
        <v>2.9686609895662741E-5</v>
      </c>
      <c r="AY56" s="472">
        <f t="shared" si="10"/>
        <v>2.0596041370168905E-5</v>
      </c>
      <c r="AZ56" s="472">
        <f t="shared" si="10"/>
        <v>1.4289167037162542E-5</v>
      </c>
      <c r="BA56" s="472">
        <f t="shared" si="10"/>
        <v>9.9135699791474963E-6</v>
      </c>
      <c r="BB56" s="477">
        <f t="shared" si="10"/>
        <v>6.8778586026496669E-6</v>
      </c>
      <c r="BC56" s="477">
        <f t="shared" si="10"/>
        <v>4.7717360551757793E-6</v>
      </c>
      <c r="BD56" s="479">
        <f t="shared" si="10"/>
        <v>3.3105456687110291E-6</v>
      </c>
      <c r="BE56" s="479">
        <f t="shared" si="10"/>
        <v>2.2967977599819278E-6</v>
      </c>
      <c r="BF56" s="479">
        <f t="shared" si="10"/>
        <v>1.593477481520722E-6</v>
      </c>
      <c r="BG56" s="479"/>
      <c r="BH56" s="479">
        <f t="shared" si="10"/>
        <v>1.1055263691162054E-6</v>
      </c>
      <c r="BI56" s="479">
        <f t="shared" si="10"/>
        <v>7.6699454965023506E-7</v>
      </c>
      <c r="BJ56" s="479">
        <f t="shared" si="10"/>
        <v>5.3212718853501428E-7</v>
      </c>
      <c r="BK56" s="479">
        <f t="shared" si="10"/>
        <v>3.6918039469924224E-7</v>
      </c>
      <c r="BL56" s="479">
        <f t="shared" si="10"/>
        <v>2.5613079301933794E-7</v>
      </c>
      <c r="BM56" s="479">
        <f t="shared" si="10"/>
        <v>1.7769899685049495E-7</v>
      </c>
      <c r="BN56" s="479">
        <f t="shared" si="10"/>
        <v>1.2328440845976729E-7</v>
      </c>
      <c r="BO56" s="479">
        <f t="shared" si="10"/>
        <v>8.5532516180819584E-8</v>
      </c>
      <c r="BP56" s="479">
        <f t="shared" si="10"/>
        <v>5.9340958813436373E-8</v>
      </c>
      <c r="BQ56" s="479">
        <f t="shared" si="10"/>
        <v>4.1169695208509438E-8</v>
      </c>
      <c r="BR56" s="479">
        <f t="shared" si="10"/>
        <v>2.8562791243302854E-8</v>
      </c>
      <c r="BS56" s="479">
        <f t="shared" si="10"/>
        <v>1.9816376095604937E-8</v>
      </c>
      <c r="BT56" s="479">
        <f t="shared" si="10"/>
        <v>1.3748252314371712E-8</v>
      </c>
      <c r="BU56" s="479">
        <f t="shared" si="10"/>
        <v>9.5382866049931181E-9</v>
      </c>
      <c r="BV56" s="479">
        <f t="shared" si="10"/>
        <v>6.6174905555271835E-9</v>
      </c>
      <c r="BW56" s="479">
        <f t="shared" si="10"/>
        <v>4.5910901746992749E-9</v>
      </c>
      <c r="BX56" s="479">
        <f t="shared" si="10"/>
        <v>3.1852174231516983E-9</v>
      </c>
      <c r="BY56" s="479">
        <f t="shared" si="10"/>
        <v>2.2098554097738088E-9</v>
      </c>
      <c r="BZ56" s="479">
        <f t="shared" si="10"/>
        <v>1.5331522718042834E-9</v>
      </c>
      <c r="CA56" s="479">
        <f t="shared" si="10"/>
        <v>1.0636753700055124E-9</v>
      </c>
      <c r="CB56" s="479">
        <f t="shared" si="10"/>
        <v>7.3795902721940365E-10</v>
      </c>
      <c r="CC56" s="479">
        <f t="shared" si="10"/>
        <v>5.1198512096561899E-10</v>
      </c>
      <c r="CD56" s="479">
        <f t="shared" si="10"/>
        <v>3.5520386632015288E-10</v>
      </c>
      <c r="CE56" s="479">
        <f t="shared" si="10"/>
        <v>2.4644108975735435E-10</v>
      </c>
      <c r="CF56" s="479">
        <f t="shared" si="10"/>
        <v>1.7097079307859531E-10</v>
      </c>
      <c r="CG56" s="479">
        <f t="shared" si="10"/>
        <v>1.1861800430779113E-10</v>
      </c>
      <c r="CH56" s="479">
        <f t="shared" si="10"/>
        <v>8.2302165083092405E-11</v>
      </c>
      <c r="CI56" s="479">
        <f t="shared" ref="CI56:EL56" si="11">CI55-CI51</f>
        <v>5.7099214245681651E-11</v>
      </c>
      <c r="CJ56" s="479">
        <f t="shared" si="11"/>
        <v>3.9609204804946785E-11</v>
      </c>
      <c r="CK56" s="479">
        <f t="shared" si="11"/>
        <v>2.7483793019200675E-11</v>
      </c>
      <c r="CL56" s="479">
        <f t="shared" si="11"/>
        <v>1.9063861600443488E-11</v>
      </c>
      <c r="CM56" s="479">
        <f t="shared" si="11"/>
        <v>1.3230305739853065E-11</v>
      </c>
      <c r="CN56" s="479">
        <f t="shared" si="11"/>
        <v>9.1695540049840929E-12</v>
      </c>
      <c r="CO56" s="479">
        <f t="shared" si="11"/>
        <v>6.3664629124104977E-12</v>
      </c>
      <c r="CP56" s="479">
        <f t="shared" si="11"/>
        <v>4.4195758164278232E-12</v>
      </c>
      <c r="CQ56" s="479">
        <f t="shared" si="11"/>
        <v>3.0659919048048323E-12</v>
      </c>
      <c r="CR56" s="479">
        <f t="shared" si="11"/>
        <v>2.1245227799226996E-12</v>
      </c>
      <c r="CS56" s="479">
        <f t="shared" si="11"/>
        <v>1.4850343177386094E-12</v>
      </c>
      <c r="CT56" s="479">
        <f t="shared" si="11"/>
        <v>1.0125233984581428E-12</v>
      </c>
      <c r="CU56" s="479">
        <f t="shared" si="11"/>
        <v>7.2120087679650169E-13</v>
      </c>
      <c r="CV56" s="479">
        <f t="shared" si="11"/>
        <v>4.9382720135326963E-13</v>
      </c>
      <c r="CW56" s="479">
        <f t="shared" si="11"/>
        <v>3.3750779948604759E-13</v>
      </c>
      <c r="CX56" s="479">
        <f t="shared" si="11"/>
        <v>2.2737367544323206E-13</v>
      </c>
      <c r="CY56" s="479">
        <f t="shared" si="11"/>
        <v>1.6697754290362354E-13</v>
      </c>
      <c r="CZ56" s="479">
        <f t="shared" si="11"/>
        <v>1.1013412404281553E-13</v>
      </c>
      <c r="DA56" s="479">
        <f t="shared" si="11"/>
        <v>7.460698725481052E-14</v>
      </c>
      <c r="DB56" s="479">
        <f t="shared" si="11"/>
        <v>7.460698725481052E-14</v>
      </c>
      <c r="DC56" s="479">
        <f t="shared" si="11"/>
        <v>4.9737991503207013E-14</v>
      </c>
      <c r="DD56" s="479">
        <f t="shared" si="11"/>
        <v>3.1974423109204508E-14</v>
      </c>
      <c r="DE56" s="479">
        <f t="shared" si="11"/>
        <v>0</v>
      </c>
      <c r="DF56" s="479">
        <f t="shared" si="11"/>
        <v>0</v>
      </c>
      <c r="DG56" s="479">
        <f t="shared" si="11"/>
        <v>0</v>
      </c>
      <c r="DH56" s="479">
        <f t="shared" si="11"/>
        <v>0</v>
      </c>
      <c r="DI56" s="479">
        <f t="shared" si="11"/>
        <v>0</v>
      </c>
      <c r="DJ56" s="479">
        <f t="shared" si="11"/>
        <v>0</v>
      </c>
      <c r="DK56" s="479">
        <f t="shared" si="11"/>
        <v>0</v>
      </c>
      <c r="DL56" s="479">
        <f t="shared" si="11"/>
        <v>0</v>
      </c>
      <c r="DM56" s="479">
        <f t="shared" si="11"/>
        <v>0</v>
      </c>
      <c r="DN56" s="479">
        <f t="shared" si="11"/>
        <v>0</v>
      </c>
      <c r="DO56" s="479">
        <f t="shared" si="11"/>
        <v>0</v>
      </c>
      <c r="DP56" s="479">
        <f t="shared" si="11"/>
        <v>0</v>
      </c>
      <c r="DQ56" s="479">
        <f t="shared" si="11"/>
        <v>0</v>
      </c>
      <c r="DR56" s="479">
        <f t="shared" si="11"/>
        <v>0</v>
      </c>
      <c r="DS56" s="479">
        <f t="shared" si="11"/>
        <v>0</v>
      </c>
      <c r="DT56" s="479">
        <f t="shared" si="11"/>
        <v>0</v>
      </c>
      <c r="DU56" s="479">
        <f t="shared" si="11"/>
        <v>0</v>
      </c>
      <c r="DV56" s="479">
        <f t="shared" si="11"/>
        <v>0</v>
      </c>
      <c r="DW56" s="479">
        <f t="shared" si="11"/>
        <v>0</v>
      </c>
      <c r="DX56" s="479">
        <f t="shared" si="11"/>
        <v>0</v>
      </c>
      <c r="DY56" s="479">
        <f t="shared" si="11"/>
        <v>0</v>
      </c>
      <c r="DZ56" s="479">
        <f t="shared" si="11"/>
        <v>0</v>
      </c>
      <c r="EA56" s="479">
        <f t="shared" si="11"/>
        <v>0</v>
      </c>
      <c r="EB56" s="479">
        <f t="shared" si="11"/>
        <v>0</v>
      </c>
      <c r="EC56" s="479">
        <f t="shared" si="11"/>
        <v>0</v>
      </c>
      <c r="ED56" s="479">
        <f t="shared" si="11"/>
        <v>0</v>
      </c>
      <c r="EE56" s="479">
        <f t="shared" si="11"/>
        <v>0</v>
      </c>
      <c r="EF56" s="479">
        <f t="shared" si="11"/>
        <v>0</v>
      </c>
      <c r="EG56" s="479">
        <f t="shared" si="11"/>
        <v>0</v>
      </c>
      <c r="EH56" s="479">
        <f t="shared" si="11"/>
        <v>0</v>
      </c>
      <c r="EI56" s="479">
        <f t="shared" si="11"/>
        <v>0</v>
      </c>
      <c r="EJ56" s="479">
        <f t="shared" si="11"/>
        <v>0</v>
      </c>
      <c r="EK56" s="479">
        <f t="shared" si="11"/>
        <v>0</v>
      </c>
      <c r="EL56" s="479">
        <f t="shared" si="11"/>
        <v>0</v>
      </c>
      <c r="EM56" s="62"/>
      <c r="EN56" s="62"/>
      <c r="EO56" s="62"/>
      <c r="EP56" s="62"/>
      <c r="EQ56" s="62"/>
      <c r="ER56" s="62"/>
      <c r="ES56" s="62"/>
      <c r="ET56" s="62"/>
      <c r="EU56" s="62"/>
      <c r="EV56" s="62"/>
      <c r="EW56" s="62"/>
      <c r="EX56" s="62"/>
      <c r="EY56" s="62"/>
      <c r="EZ56" s="62"/>
      <c r="FA56" s="62"/>
      <c r="FB56" s="62"/>
      <c r="FC56" s="62"/>
      <c r="FD56" s="62"/>
      <c r="FE56" s="62"/>
      <c r="FF56" s="62"/>
      <c r="FG56" s="62"/>
      <c r="FH56" s="62"/>
      <c r="FI56" s="62"/>
      <c r="FJ56" s="62"/>
      <c r="FK56" s="62"/>
      <c r="FL56" s="62"/>
      <c r="FM56" s="62"/>
      <c r="FN56" s="62"/>
      <c r="FO56" s="62"/>
      <c r="FP56" s="62"/>
      <c r="FQ56" s="62"/>
      <c r="FR56" s="62"/>
      <c r="FS56" s="62"/>
      <c r="FT56" s="62"/>
      <c r="FU56" s="62"/>
      <c r="FV56" s="62"/>
      <c r="FW56" s="62"/>
      <c r="FX56" s="62"/>
      <c r="FY56" s="62"/>
      <c r="FZ56" s="62"/>
      <c r="GA56" s="62"/>
      <c r="GB56" s="62"/>
      <c r="GC56" s="62"/>
      <c r="GD56" s="62"/>
      <c r="GE56" s="62"/>
      <c r="GF56" s="62"/>
      <c r="GG56" s="62"/>
      <c r="GH56" s="62"/>
      <c r="GI56" s="62"/>
      <c r="GJ56" s="62"/>
      <c r="GK56" s="62"/>
      <c r="GL56" s="62"/>
      <c r="GM56" s="62"/>
      <c r="GN56" s="62"/>
      <c r="GO56" s="62"/>
      <c r="GP56" s="62"/>
      <c r="GQ56" s="62"/>
      <c r="GR56" s="62"/>
      <c r="GS56" s="62"/>
      <c r="GT56" s="62"/>
      <c r="GU56" s="62"/>
      <c r="GV56" s="62"/>
      <c r="GW56" s="62"/>
      <c r="GX56" s="62"/>
      <c r="GY56" s="62"/>
      <c r="GZ56" s="62"/>
      <c r="HA56" s="62"/>
      <c r="HB56" s="62"/>
      <c r="HC56" s="62"/>
      <c r="HD56" s="62"/>
      <c r="HE56" s="62"/>
      <c r="HF56" s="62"/>
      <c r="HG56" s="62"/>
      <c r="HH56" s="62"/>
      <c r="HI56" s="62"/>
      <c r="HJ56" s="62"/>
      <c r="HK56" s="62"/>
      <c r="HL56" s="62"/>
      <c r="HM56" s="62"/>
      <c r="HN56" s="62"/>
      <c r="HO56" s="62"/>
      <c r="HP56" s="62"/>
      <c r="HQ56" s="62"/>
      <c r="HR56" s="62"/>
      <c r="HS56" s="62"/>
      <c r="HT56" s="62"/>
      <c r="HU56" s="62"/>
      <c r="HV56" s="62"/>
      <c r="HW56" s="62"/>
      <c r="HX56" s="62"/>
      <c r="HY56" s="62"/>
      <c r="HZ56" s="62"/>
      <c r="IA56" s="62"/>
      <c r="IB56" s="62"/>
      <c r="IC56" s="62"/>
      <c r="ID56" s="62"/>
      <c r="IE56" s="62"/>
      <c r="IF56" s="62"/>
      <c r="IG56" s="62"/>
      <c r="IH56" s="62"/>
      <c r="II56" s="62"/>
      <c r="IJ56" s="62"/>
      <c r="IK56" s="62"/>
      <c r="IL56" s="62"/>
      <c r="IM56" s="62"/>
      <c r="IN56" s="62"/>
      <c r="IO56" s="62"/>
      <c r="IP56" s="62"/>
      <c r="IQ56" s="62"/>
      <c r="IR56" s="62"/>
      <c r="IS56" s="62"/>
      <c r="IT56" s="62"/>
      <c r="IU56" s="62"/>
      <c r="IV56" s="62"/>
    </row>
    <row r="57" spans="1:256" ht="13.5" x14ac:dyDescent="0.25">
      <c r="A57" s="41"/>
      <c r="B57" s="41"/>
      <c r="C57" s="41"/>
      <c r="D57" s="41"/>
      <c r="E57" s="41"/>
      <c r="F57" s="41"/>
      <c r="G57" s="41"/>
      <c r="H57" s="41"/>
      <c r="I57" s="41"/>
      <c r="J57" s="41"/>
      <c r="K57" s="41"/>
      <c r="L57" s="172"/>
      <c r="M57" s="172"/>
      <c r="N57" s="394"/>
      <c r="O57" s="395"/>
      <c r="P57" s="480"/>
      <c r="Q57" s="480"/>
      <c r="R57" s="480"/>
      <c r="S57" s="480"/>
      <c r="T57" s="480"/>
      <c r="U57" s="45" t="s">
        <v>925</v>
      </c>
      <c r="V57" s="481">
        <f>GRAFICI!M3</f>
        <v>3</v>
      </c>
      <c r="W57" s="32">
        <f t="shared" ref="W57:CI57" si="12">V57</f>
        <v>3</v>
      </c>
      <c r="X57" s="32">
        <f t="shared" si="12"/>
        <v>3</v>
      </c>
      <c r="Y57" s="32">
        <f t="shared" si="12"/>
        <v>3</v>
      </c>
      <c r="Z57" s="32">
        <f t="shared" si="12"/>
        <v>3</v>
      </c>
      <c r="AA57" s="32">
        <f t="shared" si="12"/>
        <v>3</v>
      </c>
      <c r="AB57" s="32">
        <f t="shared" si="12"/>
        <v>3</v>
      </c>
      <c r="AC57" s="32">
        <f t="shared" si="12"/>
        <v>3</v>
      </c>
      <c r="AD57" s="32">
        <f t="shared" si="12"/>
        <v>3</v>
      </c>
      <c r="AE57" s="32">
        <f t="shared" si="12"/>
        <v>3</v>
      </c>
      <c r="AF57" s="32">
        <f t="shared" si="12"/>
        <v>3</v>
      </c>
      <c r="AG57" s="32">
        <f t="shared" si="12"/>
        <v>3</v>
      </c>
      <c r="AH57" s="32">
        <f t="shared" si="12"/>
        <v>3</v>
      </c>
      <c r="AI57" s="32">
        <f t="shared" si="12"/>
        <v>3</v>
      </c>
      <c r="AJ57" s="32">
        <f t="shared" si="12"/>
        <v>3</v>
      </c>
      <c r="AK57" s="32">
        <f t="shared" si="12"/>
        <v>3</v>
      </c>
      <c r="AL57" s="32">
        <f t="shared" si="12"/>
        <v>3</v>
      </c>
      <c r="AM57" s="32">
        <f t="shared" si="12"/>
        <v>3</v>
      </c>
      <c r="AN57" s="32">
        <f t="shared" si="12"/>
        <v>3</v>
      </c>
      <c r="AO57" s="32">
        <f t="shared" si="12"/>
        <v>3</v>
      </c>
      <c r="AP57" s="32">
        <f t="shared" si="12"/>
        <v>3</v>
      </c>
      <c r="AQ57" s="32">
        <f t="shared" si="12"/>
        <v>3</v>
      </c>
      <c r="AR57" s="32">
        <f t="shared" si="12"/>
        <v>3</v>
      </c>
      <c r="AS57" s="32">
        <f t="shared" si="12"/>
        <v>3</v>
      </c>
      <c r="AT57" s="32">
        <f t="shared" si="12"/>
        <v>3</v>
      </c>
      <c r="AU57" s="32">
        <f t="shared" si="12"/>
        <v>3</v>
      </c>
      <c r="AV57" s="32">
        <f t="shared" si="12"/>
        <v>3</v>
      </c>
      <c r="AW57" s="32">
        <f t="shared" si="12"/>
        <v>3</v>
      </c>
      <c r="AX57" s="32">
        <f t="shared" si="12"/>
        <v>3</v>
      </c>
      <c r="AY57" s="32">
        <f t="shared" si="12"/>
        <v>3</v>
      </c>
      <c r="AZ57" s="32">
        <f t="shared" si="12"/>
        <v>3</v>
      </c>
      <c r="BA57" s="32">
        <f t="shared" si="12"/>
        <v>3</v>
      </c>
      <c r="BB57" s="31">
        <f t="shared" si="12"/>
        <v>3</v>
      </c>
      <c r="BC57" s="31">
        <f t="shared" si="12"/>
        <v>3</v>
      </c>
      <c r="BD57" s="31">
        <f t="shared" si="12"/>
        <v>3</v>
      </c>
      <c r="BE57" s="31">
        <f t="shared" si="12"/>
        <v>3</v>
      </c>
      <c r="BF57" s="31">
        <f t="shared" si="12"/>
        <v>3</v>
      </c>
      <c r="BG57" s="31"/>
      <c r="BH57" s="31">
        <f>BF57</f>
        <v>3</v>
      </c>
      <c r="BI57" s="31">
        <f t="shared" si="12"/>
        <v>3</v>
      </c>
      <c r="BJ57" s="31">
        <f t="shared" si="12"/>
        <v>3</v>
      </c>
      <c r="BK57" s="31">
        <f t="shared" si="12"/>
        <v>3</v>
      </c>
      <c r="BL57" s="31">
        <f t="shared" si="12"/>
        <v>3</v>
      </c>
      <c r="BM57" s="31">
        <f t="shared" si="12"/>
        <v>3</v>
      </c>
      <c r="BN57" s="31">
        <f t="shared" si="12"/>
        <v>3</v>
      </c>
      <c r="BO57" s="31">
        <f t="shared" si="12"/>
        <v>3</v>
      </c>
      <c r="BP57" s="31">
        <f t="shared" si="12"/>
        <v>3</v>
      </c>
      <c r="BQ57" s="31">
        <f t="shared" si="12"/>
        <v>3</v>
      </c>
      <c r="BR57" s="31">
        <f t="shared" si="12"/>
        <v>3</v>
      </c>
      <c r="BS57" s="31">
        <f t="shared" si="12"/>
        <v>3</v>
      </c>
      <c r="BT57" s="31">
        <f t="shared" si="12"/>
        <v>3</v>
      </c>
      <c r="BU57" s="31">
        <f t="shared" si="12"/>
        <v>3</v>
      </c>
      <c r="BV57" s="31">
        <f t="shared" si="12"/>
        <v>3</v>
      </c>
      <c r="BW57" s="31">
        <f t="shared" si="12"/>
        <v>3</v>
      </c>
      <c r="BX57" s="31">
        <f t="shared" si="12"/>
        <v>3</v>
      </c>
      <c r="BY57" s="31">
        <f t="shared" si="12"/>
        <v>3</v>
      </c>
      <c r="BZ57" s="31">
        <f t="shared" si="12"/>
        <v>3</v>
      </c>
      <c r="CA57" s="31">
        <f t="shared" si="12"/>
        <v>3</v>
      </c>
      <c r="CB57" s="31">
        <f t="shared" si="12"/>
        <v>3</v>
      </c>
      <c r="CC57" s="31">
        <f t="shared" si="12"/>
        <v>3</v>
      </c>
      <c r="CD57" s="31">
        <f t="shared" si="12"/>
        <v>3</v>
      </c>
      <c r="CE57" s="31">
        <f t="shared" si="12"/>
        <v>3</v>
      </c>
      <c r="CF57" s="31">
        <f t="shared" si="12"/>
        <v>3</v>
      </c>
      <c r="CG57" s="31">
        <f t="shared" si="12"/>
        <v>3</v>
      </c>
      <c r="CH57" s="31">
        <f t="shared" si="12"/>
        <v>3</v>
      </c>
      <c r="CI57" s="31">
        <f t="shared" si="12"/>
        <v>3</v>
      </c>
      <c r="CJ57" s="31">
        <f t="shared" ref="CJ57:EL57" si="13">CI57</f>
        <v>3</v>
      </c>
      <c r="CK57" s="31">
        <f t="shared" si="13"/>
        <v>3</v>
      </c>
      <c r="CL57" s="31">
        <f t="shared" si="13"/>
        <v>3</v>
      </c>
      <c r="CM57" s="31">
        <f t="shared" si="13"/>
        <v>3</v>
      </c>
      <c r="CN57" s="31">
        <f t="shared" si="13"/>
        <v>3</v>
      </c>
      <c r="CO57" s="31">
        <f t="shared" si="13"/>
        <v>3</v>
      </c>
      <c r="CP57" s="31">
        <f t="shared" si="13"/>
        <v>3</v>
      </c>
      <c r="CQ57" s="31">
        <f t="shared" si="13"/>
        <v>3</v>
      </c>
      <c r="CR57" s="31">
        <f t="shared" si="13"/>
        <v>3</v>
      </c>
      <c r="CS57" s="31">
        <f t="shared" si="13"/>
        <v>3</v>
      </c>
      <c r="CT57" s="31">
        <f t="shared" si="13"/>
        <v>3</v>
      </c>
      <c r="CU57" s="31">
        <f t="shared" si="13"/>
        <v>3</v>
      </c>
      <c r="CV57" s="31">
        <f t="shared" si="13"/>
        <v>3</v>
      </c>
      <c r="CW57" s="31">
        <f t="shared" si="13"/>
        <v>3</v>
      </c>
      <c r="CX57" s="31">
        <f t="shared" si="13"/>
        <v>3</v>
      </c>
      <c r="CY57" s="31">
        <f t="shared" si="13"/>
        <v>3</v>
      </c>
      <c r="CZ57" s="31">
        <f t="shared" si="13"/>
        <v>3</v>
      </c>
      <c r="DA57" s="31">
        <f t="shared" si="13"/>
        <v>3</v>
      </c>
      <c r="DB57" s="31">
        <f t="shared" si="13"/>
        <v>3</v>
      </c>
      <c r="DC57" s="31">
        <f t="shared" si="13"/>
        <v>3</v>
      </c>
      <c r="DD57" s="31">
        <f t="shared" si="13"/>
        <v>3</v>
      </c>
      <c r="DE57" s="31">
        <f t="shared" si="13"/>
        <v>3</v>
      </c>
      <c r="DF57" s="31">
        <f t="shared" si="13"/>
        <v>3</v>
      </c>
      <c r="DG57" s="31">
        <f t="shared" si="13"/>
        <v>3</v>
      </c>
      <c r="DH57" s="31">
        <f t="shared" si="13"/>
        <v>3</v>
      </c>
      <c r="DI57" s="31">
        <f t="shared" si="13"/>
        <v>3</v>
      </c>
      <c r="DJ57" s="31">
        <f t="shared" si="13"/>
        <v>3</v>
      </c>
      <c r="DK57" s="31">
        <f t="shared" si="13"/>
        <v>3</v>
      </c>
      <c r="DL57" s="31">
        <f t="shared" si="13"/>
        <v>3</v>
      </c>
      <c r="DM57" s="31">
        <f t="shared" si="13"/>
        <v>3</v>
      </c>
      <c r="DN57" s="31">
        <f t="shared" si="13"/>
        <v>3</v>
      </c>
      <c r="DO57" s="31">
        <f t="shared" si="13"/>
        <v>3</v>
      </c>
      <c r="DP57" s="31">
        <f t="shared" si="13"/>
        <v>3</v>
      </c>
      <c r="DQ57" s="31">
        <f t="shared" si="13"/>
        <v>3</v>
      </c>
      <c r="DR57" s="31">
        <f t="shared" si="13"/>
        <v>3</v>
      </c>
      <c r="DS57" s="31">
        <f t="shared" si="13"/>
        <v>3</v>
      </c>
      <c r="DT57" s="31">
        <f t="shared" si="13"/>
        <v>3</v>
      </c>
      <c r="DU57" s="31">
        <f t="shared" si="13"/>
        <v>3</v>
      </c>
      <c r="DV57" s="31">
        <f t="shared" si="13"/>
        <v>3</v>
      </c>
      <c r="DW57" s="31">
        <f t="shared" si="13"/>
        <v>3</v>
      </c>
      <c r="DX57" s="31">
        <f t="shared" si="13"/>
        <v>3</v>
      </c>
      <c r="DY57" s="31">
        <f t="shared" si="13"/>
        <v>3</v>
      </c>
      <c r="DZ57" s="31">
        <f t="shared" si="13"/>
        <v>3</v>
      </c>
      <c r="EA57" s="31">
        <f t="shared" si="13"/>
        <v>3</v>
      </c>
      <c r="EB57" s="31">
        <f t="shared" si="13"/>
        <v>3</v>
      </c>
      <c r="EC57" s="31">
        <f t="shared" si="13"/>
        <v>3</v>
      </c>
      <c r="ED57" s="31">
        <f t="shared" si="13"/>
        <v>3</v>
      </c>
      <c r="EE57" s="31">
        <f t="shared" si="13"/>
        <v>3</v>
      </c>
      <c r="EF57" s="31">
        <f t="shared" si="13"/>
        <v>3</v>
      </c>
      <c r="EG57" s="31">
        <f t="shared" si="13"/>
        <v>3</v>
      </c>
      <c r="EH57" s="31">
        <f t="shared" si="13"/>
        <v>3</v>
      </c>
      <c r="EI57" s="31">
        <f t="shared" si="13"/>
        <v>3</v>
      </c>
      <c r="EJ57" s="31">
        <f t="shared" si="13"/>
        <v>3</v>
      </c>
      <c r="EK57" s="31">
        <f t="shared" si="13"/>
        <v>3</v>
      </c>
      <c r="EL57" s="31">
        <f t="shared" si="13"/>
        <v>3</v>
      </c>
      <c r="EM57" s="62"/>
      <c r="EN57" s="62"/>
      <c r="EO57" s="62"/>
      <c r="EP57" s="62"/>
      <c r="EQ57" s="62"/>
      <c r="ER57" s="62"/>
      <c r="ES57" s="62"/>
      <c r="ET57" s="62"/>
      <c r="EU57" s="62"/>
      <c r="EV57" s="62"/>
      <c r="EW57" s="62"/>
      <c r="EX57" s="62"/>
      <c r="EY57" s="62"/>
      <c r="EZ57" s="62"/>
      <c r="FA57" s="62"/>
      <c r="FB57" s="62"/>
      <c r="FC57" s="62"/>
      <c r="FD57" s="62"/>
      <c r="FE57" s="62"/>
      <c r="FF57" s="62"/>
      <c r="FG57" s="62"/>
      <c r="FH57" s="62"/>
      <c r="FI57" s="62"/>
      <c r="FJ57" s="62"/>
      <c r="FK57" s="62"/>
      <c r="FL57" s="62"/>
      <c r="FM57" s="62"/>
      <c r="FN57" s="62"/>
      <c r="FO57" s="62"/>
      <c r="FP57" s="62"/>
      <c r="FQ57" s="62"/>
      <c r="FR57" s="62"/>
      <c r="FS57" s="62"/>
      <c r="FT57" s="62"/>
      <c r="FU57" s="62"/>
      <c r="FV57" s="62"/>
      <c r="FW57" s="62"/>
      <c r="FX57" s="62"/>
      <c r="FY57" s="62"/>
      <c r="FZ57" s="62"/>
      <c r="GA57" s="62"/>
      <c r="GB57" s="62"/>
      <c r="GC57" s="62"/>
      <c r="GD57" s="62"/>
      <c r="GE57" s="62"/>
      <c r="GF57" s="62"/>
      <c r="GG57" s="62"/>
      <c r="GH57" s="62"/>
      <c r="GI57" s="62"/>
      <c r="GJ57" s="62"/>
      <c r="GK57" s="62"/>
      <c r="GL57" s="62"/>
      <c r="GM57" s="62"/>
      <c r="GN57" s="62"/>
      <c r="GO57" s="62"/>
      <c r="GP57" s="62"/>
      <c r="GQ57" s="62"/>
      <c r="GR57" s="62"/>
      <c r="GS57" s="62"/>
      <c r="GT57" s="62"/>
      <c r="GU57" s="62"/>
      <c r="GV57" s="62"/>
      <c r="GW57" s="62"/>
      <c r="GX57" s="62"/>
      <c r="GY57" s="62"/>
      <c r="GZ57" s="62"/>
      <c r="HA57" s="62"/>
      <c r="HB57" s="62"/>
      <c r="HC57" s="62"/>
      <c r="HD57" s="62"/>
      <c r="HE57" s="62"/>
      <c r="HF57" s="62"/>
      <c r="HG57" s="62"/>
      <c r="HH57" s="62"/>
      <c r="HI57" s="62"/>
      <c r="HJ57" s="62"/>
      <c r="HK57" s="62"/>
      <c r="HL57" s="62"/>
      <c r="HM57" s="62"/>
      <c r="HN57" s="62"/>
      <c r="HO57" s="62"/>
      <c r="HP57" s="62"/>
      <c r="HQ57" s="62"/>
      <c r="HR57" s="62"/>
      <c r="HS57" s="62"/>
      <c r="HT57" s="62"/>
      <c r="HU57" s="62"/>
      <c r="HV57" s="62"/>
      <c r="HW57" s="62"/>
      <c r="HX57" s="62"/>
      <c r="HY57" s="62"/>
      <c r="HZ57" s="62"/>
      <c r="IA57" s="62"/>
      <c r="IB57" s="62"/>
      <c r="IC57" s="62"/>
      <c r="ID57" s="62"/>
      <c r="IE57" s="62"/>
      <c r="IF57" s="62"/>
      <c r="IG57" s="62"/>
      <c r="IH57" s="62"/>
      <c r="II57" s="62"/>
      <c r="IJ57" s="62"/>
      <c r="IK57" s="62"/>
      <c r="IL57" s="62"/>
      <c r="IM57" s="62"/>
      <c r="IN57" s="62"/>
      <c r="IO57" s="62"/>
      <c r="IP57" s="62"/>
      <c r="IQ57" s="62"/>
      <c r="IR57" s="62"/>
      <c r="IS57" s="62"/>
      <c r="IT57" s="62"/>
      <c r="IU57" s="62"/>
      <c r="IV57" s="62"/>
    </row>
    <row r="58" spans="1:256" ht="13.5" x14ac:dyDescent="0.25">
      <c r="A58" s="41"/>
      <c r="B58" s="41"/>
      <c r="C58" s="41"/>
      <c r="D58" s="41"/>
      <c r="E58" s="41"/>
      <c r="F58" s="41"/>
      <c r="G58" s="41"/>
      <c r="H58" s="41"/>
      <c r="I58" s="41"/>
      <c r="J58" s="41"/>
      <c r="K58" s="41"/>
      <c r="L58" s="136"/>
      <c r="M58" s="136"/>
      <c r="N58" s="393"/>
      <c r="O58" s="395"/>
      <c r="P58" s="480"/>
      <c r="Q58" s="480"/>
      <c r="R58" s="480"/>
      <c r="S58" s="480"/>
      <c r="T58" s="480"/>
      <c r="U58" s="32"/>
      <c r="V58" s="32"/>
      <c r="W58" s="32"/>
      <c r="X58" s="32"/>
      <c r="Y58" s="32"/>
      <c r="Z58" s="470"/>
      <c r="AA58" s="32"/>
      <c r="AB58" s="32"/>
      <c r="AC58" s="32"/>
      <c r="EA58" s="62"/>
      <c r="EB58" s="62"/>
      <c r="EC58" s="62"/>
      <c r="ED58" s="62"/>
      <c r="EE58" s="62"/>
      <c r="EF58" s="62"/>
      <c r="EG58" s="62"/>
      <c r="EH58" s="62"/>
      <c r="EI58" s="62"/>
      <c r="EJ58" s="62"/>
      <c r="EK58" s="62"/>
      <c r="EL58" s="62"/>
      <c r="EM58" s="62"/>
      <c r="EN58" s="62"/>
      <c r="EO58" s="62"/>
      <c r="EP58" s="62"/>
      <c r="EQ58" s="62"/>
      <c r="ER58" s="62"/>
      <c r="ES58" s="62"/>
      <c r="ET58" s="62"/>
      <c r="EU58" s="62"/>
      <c r="EV58" s="62"/>
      <c r="EW58" s="62"/>
      <c r="EX58" s="62"/>
      <c r="EY58" s="62"/>
      <c r="EZ58" s="62"/>
      <c r="FA58" s="62"/>
      <c r="FB58" s="62"/>
      <c r="FC58" s="62"/>
      <c r="FD58" s="62"/>
      <c r="FE58" s="62"/>
      <c r="FF58" s="62"/>
      <c r="FG58" s="62"/>
      <c r="FH58" s="62"/>
      <c r="FI58" s="62"/>
      <c r="FJ58" s="62"/>
      <c r="FK58" s="62"/>
      <c r="FL58" s="62"/>
      <c r="FM58" s="62"/>
      <c r="FN58" s="62"/>
      <c r="FO58" s="62"/>
      <c r="FP58" s="62"/>
      <c r="FQ58" s="62"/>
      <c r="FR58" s="62"/>
      <c r="FS58" s="62"/>
      <c r="FT58" s="62"/>
      <c r="FU58" s="62"/>
      <c r="FV58" s="62"/>
      <c r="FW58" s="62"/>
      <c r="FX58" s="62"/>
      <c r="FY58" s="62"/>
      <c r="FZ58" s="62"/>
      <c r="GA58" s="62"/>
      <c r="GB58" s="62"/>
      <c r="GC58" s="62"/>
      <c r="GD58" s="62"/>
      <c r="GE58" s="62"/>
      <c r="GF58" s="62"/>
      <c r="GG58" s="62"/>
      <c r="GH58" s="62"/>
      <c r="GI58" s="62"/>
      <c r="GJ58" s="62"/>
      <c r="GK58" s="62"/>
      <c r="GL58" s="62"/>
      <c r="GM58" s="62"/>
      <c r="GN58" s="62"/>
      <c r="GO58" s="62"/>
      <c r="GP58" s="62"/>
      <c r="GQ58" s="62"/>
      <c r="GR58" s="62"/>
      <c r="GS58" s="62"/>
      <c r="GT58" s="62"/>
      <c r="GU58" s="62"/>
      <c r="GV58" s="62"/>
      <c r="GW58" s="62"/>
      <c r="GX58" s="62"/>
      <c r="GY58" s="62"/>
      <c r="GZ58" s="62"/>
      <c r="HA58" s="62"/>
      <c r="HB58" s="62"/>
      <c r="HC58" s="62"/>
      <c r="HD58" s="62"/>
      <c r="HE58" s="62"/>
      <c r="HF58" s="62"/>
      <c r="HG58" s="62"/>
      <c r="HH58" s="62"/>
      <c r="HI58" s="62"/>
      <c r="HJ58" s="62"/>
      <c r="HK58" s="62"/>
      <c r="HL58" s="62"/>
      <c r="HM58" s="62"/>
      <c r="HN58" s="62"/>
      <c r="HO58" s="62"/>
      <c r="HP58" s="62"/>
      <c r="HQ58" s="62"/>
      <c r="HR58" s="62"/>
      <c r="HS58" s="62"/>
      <c r="HT58" s="62"/>
      <c r="HU58" s="62"/>
      <c r="HV58" s="62"/>
      <c r="HW58" s="62"/>
      <c r="HX58" s="62"/>
      <c r="HY58" s="62"/>
      <c r="HZ58" s="62"/>
      <c r="IA58" s="62"/>
      <c r="IB58" s="62"/>
      <c r="IC58" s="62"/>
      <c r="ID58" s="62"/>
      <c r="IE58" s="62"/>
      <c r="IF58" s="62"/>
      <c r="IG58" s="62"/>
      <c r="IH58" s="62"/>
      <c r="II58" s="62"/>
      <c r="IJ58" s="62"/>
      <c r="IK58" s="62"/>
      <c r="IL58" s="62"/>
      <c r="IM58" s="62"/>
      <c r="IN58" s="62"/>
      <c r="IO58" s="62"/>
      <c r="IP58" s="62"/>
      <c r="IQ58" s="62"/>
      <c r="IR58" s="62"/>
      <c r="IS58" s="62"/>
      <c r="IT58" s="62"/>
      <c r="IU58" s="62"/>
      <c r="IV58" s="62"/>
    </row>
    <row r="59" spans="1:256" ht="13.5" x14ac:dyDescent="0.25">
      <c r="A59" s="41"/>
      <c r="B59" s="41"/>
      <c r="C59" s="41"/>
      <c r="D59" s="41"/>
      <c r="E59" s="41"/>
      <c r="F59" s="41"/>
      <c r="G59" s="41"/>
      <c r="H59" s="41"/>
      <c r="I59" s="41"/>
      <c r="J59" s="41"/>
      <c r="K59" s="41"/>
      <c r="L59" s="136"/>
      <c r="M59" s="136"/>
      <c r="N59" s="393"/>
      <c r="O59" s="395"/>
      <c r="P59" s="480"/>
      <c r="Q59" s="480"/>
      <c r="R59" s="480"/>
      <c r="S59" s="480"/>
      <c r="T59" s="480"/>
      <c r="U59" s="470" t="s">
        <v>901</v>
      </c>
      <c r="V59" s="470"/>
      <c r="W59" s="482">
        <f>EL56</f>
        <v>0</v>
      </c>
      <c r="X59" s="32"/>
      <c r="Y59" s="32"/>
      <c r="Z59" s="483"/>
      <c r="AA59" s="32"/>
      <c r="AB59" s="32"/>
      <c r="AC59" s="32"/>
      <c r="EA59" s="62"/>
      <c r="EB59" s="62"/>
      <c r="EC59" s="62"/>
      <c r="ED59" s="62"/>
      <c r="EE59" s="62"/>
      <c r="EF59" s="62"/>
      <c r="EG59" s="62"/>
      <c r="EH59" s="62"/>
      <c r="EI59" s="62"/>
      <c r="EJ59" s="62"/>
      <c r="EK59" s="62"/>
      <c r="EL59" s="62"/>
      <c r="EM59" s="62"/>
      <c r="EN59" s="62"/>
      <c r="EO59" s="62"/>
      <c r="EP59" s="62"/>
      <c r="EQ59" s="62"/>
      <c r="ER59" s="62"/>
      <c r="ES59" s="62"/>
      <c r="ET59" s="62"/>
      <c r="EU59" s="62"/>
      <c r="EV59" s="62"/>
      <c r="EW59" s="62"/>
      <c r="EX59" s="62"/>
      <c r="EY59" s="62"/>
      <c r="EZ59" s="62"/>
      <c r="FA59" s="62"/>
      <c r="FB59" s="62"/>
      <c r="FC59" s="62"/>
      <c r="FD59" s="62"/>
      <c r="FE59" s="62"/>
      <c r="FF59" s="62"/>
      <c r="FG59" s="62"/>
      <c r="FH59" s="62"/>
      <c r="FI59" s="62"/>
      <c r="FJ59" s="62"/>
      <c r="FK59" s="62"/>
      <c r="FL59" s="62"/>
      <c r="FM59" s="62"/>
      <c r="FN59" s="62"/>
      <c r="FO59" s="62"/>
      <c r="FP59" s="62"/>
      <c r="FQ59" s="62"/>
      <c r="FR59" s="62"/>
      <c r="FS59" s="62"/>
      <c r="FT59" s="62"/>
      <c r="FU59" s="62"/>
      <c r="FV59" s="62"/>
      <c r="FW59" s="62"/>
      <c r="FX59" s="62"/>
      <c r="FY59" s="62"/>
      <c r="FZ59" s="62"/>
      <c r="GA59" s="62"/>
      <c r="GB59" s="62"/>
      <c r="GC59" s="62"/>
      <c r="GD59" s="62"/>
      <c r="GE59" s="62"/>
      <c r="GF59" s="62"/>
      <c r="GG59" s="62"/>
      <c r="GH59" s="62"/>
      <c r="GI59" s="62"/>
      <c r="GJ59" s="62"/>
      <c r="GK59" s="62"/>
      <c r="GL59" s="62"/>
      <c r="GM59" s="62"/>
      <c r="GN59" s="62"/>
      <c r="GO59" s="62"/>
      <c r="GP59" s="62"/>
      <c r="GQ59" s="62"/>
      <c r="GR59" s="62"/>
      <c r="GS59" s="62"/>
      <c r="GT59" s="62"/>
      <c r="GU59" s="62"/>
      <c r="GV59" s="62"/>
      <c r="GW59" s="62"/>
      <c r="GX59" s="62"/>
      <c r="GY59" s="62"/>
      <c r="GZ59" s="62"/>
      <c r="HA59" s="62"/>
      <c r="HB59" s="62"/>
      <c r="HC59" s="62"/>
      <c r="HD59" s="62"/>
      <c r="HE59" s="62"/>
      <c r="HF59" s="62"/>
      <c r="HG59" s="62"/>
      <c r="HH59" s="62"/>
      <c r="HI59" s="62"/>
      <c r="HJ59" s="62"/>
      <c r="HK59" s="62"/>
      <c r="HL59" s="62"/>
      <c r="HM59" s="62"/>
      <c r="HN59" s="62"/>
      <c r="HO59" s="62"/>
      <c r="HP59" s="62"/>
      <c r="HQ59" s="62"/>
      <c r="HR59" s="62"/>
      <c r="HS59" s="62"/>
      <c r="HT59" s="62"/>
      <c r="HU59" s="62"/>
      <c r="HV59" s="62"/>
      <c r="HW59" s="62"/>
      <c r="HX59" s="62"/>
      <c r="HY59" s="62"/>
      <c r="HZ59" s="62"/>
      <c r="IA59" s="62"/>
      <c r="IB59" s="62"/>
      <c r="IC59" s="62"/>
      <c r="ID59" s="62"/>
      <c r="IE59" s="62"/>
      <c r="IF59" s="62"/>
      <c r="IG59" s="62"/>
      <c r="IH59" s="62"/>
      <c r="II59" s="62"/>
      <c r="IJ59" s="62"/>
      <c r="IK59" s="62"/>
      <c r="IL59" s="62"/>
      <c r="IM59" s="62"/>
      <c r="IN59" s="62"/>
      <c r="IO59" s="62"/>
      <c r="IP59" s="62"/>
      <c r="IQ59" s="62"/>
      <c r="IR59" s="62"/>
      <c r="IS59" s="62"/>
      <c r="IT59" s="62"/>
      <c r="IU59" s="62"/>
      <c r="IV59" s="62"/>
    </row>
    <row r="60" spans="1:256" ht="13.5" x14ac:dyDescent="0.25">
      <c r="A60" s="41"/>
      <c r="B60" s="41"/>
      <c r="C60" s="41"/>
      <c r="D60" s="41"/>
      <c r="E60" s="41"/>
      <c r="F60" s="41"/>
      <c r="G60" s="41"/>
      <c r="H60" s="41"/>
      <c r="I60" s="41"/>
      <c r="J60" s="41"/>
      <c r="K60" s="41"/>
      <c r="L60" s="136"/>
      <c r="M60" s="136"/>
      <c r="N60" s="393"/>
      <c r="O60" s="395"/>
      <c r="P60" s="480"/>
      <c r="Q60" s="480"/>
      <c r="R60" s="480"/>
      <c r="S60" s="480"/>
      <c r="T60" s="480"/>
      <c r="U60" s="32" t="s">
        <v>926</v>
      </c>
      <c r="V60" s="32"/>
      <c r="W60" s="475">
        <f>AVERAGE(EL51,EL55)</f>
        <v>19.905815399642382</v>
      </c>
      <c r="X60" s="470"/>
      <c r="Y60" s="478"/>
      <c r="Z60" s="470"/>
      <c r="AA60" s="32"/>
      <c r="AB60" s="32"/>
      <c r="AC60" s="32"/>
      <c r="EA60" s="62"/>
      <c r="EB60" s="62"/>
      <c r="EC60" s="62"/>
      <c r="ED60" s="62"/>
      <c r="EE60" s="62"/>
      <c r="EF60" s="62"/>
      <c r="EG60" s="62"/>
      <c r="EH60" s="62"/>
      <c r="EI60" s="62"/>
      <c r="EJ60" s="62"/>
      <c r="EK60" s="62"/>
      <c r="EL60" s="62"/>
      <c r="EM60" s="62"/>
      <c r="EN60" s="62"/>
      <c r="EO60" s="62"/>
      <c r="EP60" s="62"/>
      <c r="EQ60" s="62"/>
      <c r="ER60" s="62"/>
      <c r="ES60" s="62"/>
      <c r="ET60" s="62"/>
      <c r="EU60" s="62"/>
      <c r="EV60" s="62"/>
      <c r="EW60" s="62"/>
      <c r="EX60" s="62"/>
      <c r="EY60" s="62"/>
      <c r="EZ60" s="62"/>
      <c r="FA60" s="62"/>
      <c r="FB60" s="62"/>
      <c r="FC60" s="62"/>
      <c r="FD60" s="62"/>
      <c r="FE60" s="62"/>
      <c r="FF60" s="62"/>
      <c r="FG60" s="62"/>
      <c r="FH60" s="62"/>
      <c r="FI60" s="62"/>
      <c r="FJ60" s="62"/>
      <c r="FK60" s="62"/>
      <c r="FL60" s="62"/>
      <c r="FM60" s="62"/>
      <c r="FN60" s="62"/>
      <c r="FO60" s="62"/>
      <c r="FP60" s="62"/>
      <c r="FQ60" s="62"/>
      <c r="FR60" s="62"/>
      <c r="FS60" s="62"/>
      <c r="FT60" s="62"/>
      <c r="FU60" s="62"/>
      <c r="FV60" s="62"/>
      <c r="FW60" s="62"/>
      <c r="FX60" s="62"/>
      <c r="FY60" s="62"/>
      <c r="FZ60" s="62"/>
      <c r="GA60" s="62"/>
      <c r="GB60" s="62"/>
      <c r="GC60" s="62"/>
      <c r="GD60" s="62"/>
      <c r="GE60" s="62"/>
      <c r="GF60" s="62"/>
      <c r="GG60" s="62"/>
      <c r="GH60" s="62"/>
      <c r="GI60" s="62"/>
      <c r="GJ60" s="62"/>
      <c r="GK60" s="62"/>
      <c r="GL60" s="62"/>
      <c r="GM60" s="62"/>
      <c r="GN60" s="62"/>
      <c r="GO60" s="62"/>
      <c r="GP60" s="62"/>
      <c r="GQ60" s="62"/>
      <c r="GR60" s="62"/>
      <c r="GS60" s="62"/>
      <c r="GT60" s="62"/>
      <c r="GU60" s="62"/>
      <c r="GV60" s="62"/>
      <c r="GW60" s="62"/>
      <c r="GX60" s="62"/>
      <c r="GY60" s="62"/>
      <c r="GZ60" s="62"/>
      <c r="HA60" s="62"/>
      <c r="HB60" s="62"/>
      <c r="HC60" s="62"/>
      <c r="HD60" s="62"/>
      <c r="HE60" s="62"/>
      <c r="HF60" s="62"/>
      <c r="HG60" s="62"/>
      <c r="HH60" s="62"/>
      <c r="HI60" s="62"/>
      <c r="HJ60" s="62"/>
      <c r="HK60" s="62"/>
      <c r="HL60" s="62"/>
      <c r="HM60" s="62"/>
      <c r="HN60" s="62"/>
      <c r="HO60" s="62"/>
      <c r="HP60" s="62"/>
      <c r="HQ60" s="62"/>
      <c r="HR60" s="62"/>
      <c r="HS60" s="62"/>
      <c r="HT60" s="62"/>
      <c r="HU60" s="62"/>
      <c r="HV60" s="62"/>
      <c r="HW60" s="62"/>
      <c r="HX60" s="62"/>
      <c r="HY60" s="62"/>
      <c r="HZ60" s="62"/>
      <c r="IA60" s="62"/>
      <c r="IB60" s="62"/>
      <c r="IC60" s="62"/>
      <c r="ID60" s="62"/>
      <c r="IE60" s="62"/>
      <c r="IF60" s="62"/>
      <c r="IG60" s="62"/>
      <c r="IH60" s="62"/>
      <c r="II60" s="62"/>
      <c r="IJ60" s="62"/>
      <c r="IK60" s="62"/>
      <c r="IL60" s="62"/>
      <c r="IM60" s="62"/>
      <c r="IN60" s="62"/>
      <c r="IO60" s="62"/>
      <c r="IP60" s="62"/>
      <c r="IQ60" s="62"/>
      <c r="IR60" s="62"/>
      <c r="IS60" s="62"/>
      <c r="IT60" s="62"/>
      <c r="IU60" s="62"/>
      <c r="IV60" s="62"/>
    </row>
    <row r="61" spans="1:256" ht="13.5" x14ac:dyDescent="0.25">
      <c r="A61" s="41"/>
      <c r="B61" s="41"/>
      <c r="C61" s="41"/>
      <c r="D61" s="41"/>
      <c r="E61" s="41"/>
      <c r="F61" s="41"/>
      <c r="G61" s="41"/>
      <c r="H61" s="41"/>
      <c r="I61" s="41"/>
      <c r="J61" s="41"/>
      <c r="K61" s="41"/>
      <c r="L61" s="136"/>
      <c r="M61" s="136"/>
      <c r="N61" s="393"/>
      <c r="O61" s="395"/>
      <c r="P61" s="480"/>
      <c r="Q61" s="480"/>
      <c r="R61" s="480"/>
      <c r="S61" s="480"/>
      <c r="T61" s="480"/>
      <c r="U61" s="32" t="s">
        <v>927</v>
      </c>
      <c r="W61" s="484">
        <f>DZ54</f>
        <v>7.2486087294864303</v>
      </c>
      <c r="X61" s="483"/>
      <c r="Y61" s="483"/>
      <c r="Z61" s="483"/>
      <c r="AA61" s="32"/>
      <c r="AB61" s="32"/>
      <c r="AC61" s="32"/>
      <c r="EA61" s="62"/>
      <c r="EB61" s="62"/>
      <c r="EC61" s="62"/>
      <c r="ED61" s="62"/>
      <c r="EE61" s="62"/>
      <c r="EF61" s="62"/>
      <c r="EG61" s="62"/>
      <c r="EH61" s="62"/>
      <c r="EI61" s="62"/>
      <c r="EJ61" s="62"/>
      <c r="EK61" s="62"/>
      <c r="EL61" s="62"/>
      <c r="EM61" s="62"/>
      <c r="EN61" s="62"/>
      <c r="EO61" s="62"/>
      <c r="EP61" s="62"/>
      <c r="EQ61" s="62"/>
      <c r="ER61" s="62"/>
      <c r="ES61" s="62"/>
      <c r="ET61" s="62"/>
      <c r="EU61" s="62"/>
      <c r="EV61" s="62"/>
      <c r="EW61" s="62"/>
      <c r="EX61" s="62"/>
      <c r="EY61" s="62"/>
      <c r="EZ61" s="62"/>
      <c r="FA61" s="62"/>
      <c r="FB61" s="62"/>
      <c r="FC61" s="62"/>
      <c r="FD61" s="62"/>
      <c r="FE61" s="62"/>
      <c r="FF61" s="62"/>
      <c r="FG61" s="62"/>
      <c r="FH61" s="62"/>
      <c r="FI61" s="62"/>
      <c r="FJ61" s="62"/>
      <c r="FK61" s="62"/>
      <c r="FL61" s="62"/>
      <c r="FM61" s="62"/>
      <c r="FN61" s="62"/>
      <c r="FO61" s="62"/>
      <c r="FP61" s="62"/>
      <c r="FQ61" s="62"/>
      <c r="FR61" s="62"/>
      <c r="FS61" s="62"/>
      <c r="FT61" s="62"/>
      <c r="FU61" s="62"/>
      <c r="FV61" s="62"/>
      <c r="FW61" s="62"/>
      <c r="FX61" s="62"/>
      <c r="FY61" s="62"/>
      <c r="FZ61" s="62"/>
      <c r="GA61" s="62"/>
      <c r="GB61" s="62"/>
      <c r="GC61" s="62"/>
      <c r="GD61" s="62"/>
      <c r="GE61" s="62"/>
      <c r="GF61" s="62"/>
      <c r="GG61" s="62"/>
      <c r="GH61" s="62"/>
      <c r="GI61" s="62"/>
      <c r="GJ61" s="62"/>
      <c r="GK61" s="62"/>
      <c r="GL61" s="62"/>
      <c r="GM61" s="62"/>
      <c r="GN61" s="62"/>
      <c r="GO61" s="62"/>
      <c r="GP61" s="62"/>
      <c r="GQ61" s="62"/>
      <c r="GR61" s="62"/>
      <c r="GS61" s="62"/>
      <c r="GT61" s="62"/>
      <c r="GU61" s="62"/>
      <c r="GV61" s="62"/>
      <c r="GW61" s="62"/>
      <c r="GX61" s="62"/>
      <c r="GY61" s="62"/>
      <c r="GZ61" s="62"/>
      <c r="HA61" s="62"/>
      <c r="HB61" s="62"/>
      <c r="HC61" s="62"/>
      <c r="HD61" s="62"/>
      <c r="HE61" s="62"/>
      <c r="HF61" s="62"/>
      <c r="HG61" s="62"/>
      <c r="HH61" s="62"/>
      <c r="HI61" s="62"/>
      <c r="HJ61" s="62"/>
      <c r="HK61" s="62"/>
      <c r="HL61" s="62"/>
      <c r="HM61" s="62"/>
      <c r="HN61" s="62"/>
      <c r="HO61" s="62"/>
      <c r="HP61" s="62"/>
      <c r="HQ61" s="62"/>
      <c r="HR61" s="62"/>
      <c r="HS61" s="62"/>
      <c r="HT61" s="62"/>
      <c r="HU61" s="62"/>
      <c r="HV61" s="62"/>
      <c r="HW61" s="62"/>
      <c r="HX61" s="62"/>
      <c r="HY61" s="62"/>
      <c r="HZ61" s="62"/>
      <c r="IA61" s="62"/>
      <c r="IB61" s="62"/>
      <c r="IC61" s="62"/>
      <c r="ID61" s="62"/>
      <c r="IE61" s="62"/>
      <c r="IF61" s="62"/>
      <c r="IG61" s="62"/>
      <c r="IH61" s="62"/>
      <c r="II61" s="62"/>
      <c r="IJ61" s="62"/>
      <c r="IK61" s="62"/>
      <c r="IL61" s="62"/>
      <c r="IM61" s="62"/>
      <c r="IN61" s="62"/>
      <c r="IO61" s="62"/>
      <c r="IP61" s="62"/>
      <c r="IQ61" s="62"/>
      <c r="IR61" s="62"/>
      <c r="IS61" s="62"/>
      <c r="IT61" s="62"/>
      <c r="IU61" s="62"/>
      <c r="IV61" s="62"/>
    </row>
    <row r="62" spans="1:256" ht="13.5" x14ac:dyDescent="0.25">
      <c r="A62" s="41"/>
      <c r="B62" s="41"/>
      <c r="C62" s="41"/>
      <c r="D62" s="41"/>
      <c r="E62" s="41"/>
      <c r="F62" s="41"/>
      <c r="G62" s="41"/>
      <c r="H62" s="41"/>
      <c r="I62" s="41"/>
      <c r="J62" s="41"/>
      <c r="K62" s="41"/>
      <c r="L62" s="173"/>
      <c r="M62" s="173"/>
      <c r="N62" s="395"/>
      <c r="O62" s="395"/>
      <c r="P62" s="480"/>
      <c r="Q62" s="480"/>
      <c r="R62" s="480"/>
      <c r="S62" s="480"/>
      <c r="T62" s="480"/>
      <c r="U62" s="470"/>
      <c r="V62" s="470"/>
      <c r="X62" s="470"/>
      <c r="Y62" s="470"/>
      <c r="Z62" s="470"/>
      <c r="AA62" s="32"/>
      <c r="AB62" s="32"/>
      <c r="AC62" s="32"/>
    </row>
    <row r="63" spans="1:256" ht="13.5" x14ac:dyDescent="0.25">
      <c r="A63" s="41"/>
      <c r="B63" s="41"/>
      <c r="C63" s="41"/>
      <c r="D63" s="41"/>
      <c r="E63" s="41"/>
      <c r="F63" s="41"/>
      <c r="G63" s="41"/>
      <c r="H63" s="41"/>
      <c r="I63" s="41"/>
      <c r="J63" s="41"/>
      <c r="K63" s="41"/>
      <c r="L63" s="173"/>
      <c r="M63" s="173"/>
      <c r="N63" s="395"/>
      <c r="O63" s="395"/>
      <c r="P63" s="480"/>
      <c r="Q63" s="480"/>
      <c r="R63" s="480"/>
      <c r="S63" s="480"/>
      <c r="T63" s="480"/>
      <c r="U63" s="470"/>
      <c r="V63" s="470"/>
      <c r="W63" s="470"/>
      <c r="X63" s="470"/>
      <c r="Y63" s="470"/>
      <c r="Z63" s="470"/>
      <c r="AA63" s="32"/>
      <c r="AB63" s="32"/>
      <c r="AC63" s="32"/>
    </row>
    <row r="64" spans="1:256" ht="13.5" x14ac:dyDescent="0.25">
      <c r="A64" s="41"/>
      <c r="B64" s="41"/>
      <c r="C64" s="41"/>
      <c r="D64" s="41"/>
      <c r="E64" s="41"/>
      <c r="F64" s="41"/>
      <c r="G64" s="41"/>
      <c r="H64" s="41"/>
      <c r="I64" s="41"/>
      <c r="J64" s="41"/>
      <c r="K64" s="41"/>
      <c r="L64" s="173"/>
      <c r="M64" s="173"/>
      <c r="N64" s="395"/>
      <c r="O64" s="395"/>
      <c r="P64" s="480"/>
      <c r="Q64" s="480"/>
      <c r="R64" s="480"/>
      <c r="S64" s="480"/>
      <c r="T64" s="480"/>
      <c r="U64" s="485" t="s">
        <v>2076</v>
      </c>
      <c r="V64" s="486"/>
      <c r="Z64" s="486"/>
      <c r="AA64" s="32"/>
      <c r="AB64" s="32"/>
      <c r="AC64" s="32"/>
      <c r="AD64" s="32"/>
      <c r="AE64" s="32"/>
      <c r="AF64" s="32"/>
      <c r="AG64" s="32"/>
      <c r="AH64" s="32"/>
      <c r="AI64" s="485" t="s">
        <v>1817</v>
      </c>
      <c r="AJ64" s="486"/>
      <c r="AN64" s="486"/>
      <c r="AO64" s="32"/>
      <c r="AP64" s="32"/>
      <c r="AQ64" s="32"/>
      <c r="AR64" s="32"/>
      <c r="AS64" s="32"/>
      <c r="AT64" s="32"/>
      <c r="AU64" s="485" t="s">
        <v>2077</v>
      </c>
      <c r="AV64" s="486"/>
      <c r="AZ64" s="486"/>
      <c r="BA64" s="32"/>
      <c r="BB64" s="31"/>
      <c r="BC64" s="31"/>
      <c r="BD64" s="31"/>
      <c r="BE64" s="31"/>
      <c r="BF64" s="31"/>
      <c r="BG64" s="31"/>
      <c r="BH64" s="31"/>
    </row>
    <row r="65" spans="1:60" ht="13.5" x14ac:dyDescent="0.25">
      <c r="A65" s="41"/>
      <c r="B65" s="41"/>
      <c r="C65" s="41"/>
      <c r="D65" s="41"/>
      <c r="E65" s="41"/>
      <c r="F65" s="41"/>
      <c r="G65" s="41"/>
      <c r="H65" s="41"/>
      <c r="I65" s="41"/>
      <c r="J65" s="41"/>
      <c r="K65" s="41"/>
      <c r="L65" s="173"/>
      <c r="M65" s="173"/>
      <c r="N65" s="395"/>
      <c r="O65" s="395"/>
      <c r="P65" s="480"/>
      <c r="Q65" s="480"/>
      <c r="R65" s="480"/>
      <c r="S65" s="480"/>
      <c r="T65" s="480"/>
      <c r="U65" s="32"/>
      <c r="V65" s="470"/>
      <c r="W65" s="32"/>
      <c r="X65" s="32"/>
      <c r="Y65" s="470"/>
      <c r="Z65" s="470"/>
      <c r="AA65" s="470"/>
      <c r="AB65" s="470"/>
      <c r="AC65" s="470"/>
      <c r="AD65" s="32"/>
      <c r="AE65" s="464"/>
      <c r="AF65" s="32"/>
      <c r="AG65" s="32"/>
      <c r="AH65" s="32"/>
      <c r="AI65" s="32"/>
      <c r="AJ65" s="470"/>
      <c r="AK65" s="32"/>
      <c r="AL65" s="32"/>
      <c r="AM65" s="470"/>
      <c r="AN65" s="470"/>
      <c r="AO65" s="470"/>
      <c r="AP65" s="470"/>
      <c r="AQ65" s="470"/>
      <c r="AR65" s="32"/>
      <c r="AS65" s="464"/>
      <c r="AT65" s="32"/>
      <c r="AU65" s="32"/>
      <c r="AV65" s="470"/>
      <c r="AW65" s="32"/>
      <c r="AX65" s="32"/>
      <c r="AY65" s="470"/>
      <c r="AZ65" s="470"/>
      <c r="BA65" s="470"/>
      <c r="BB65" s="470"/>
      <c r="BC65" s="470"/>
      <c r="BD65" s="31"/>
      <c r="BE65" s="487"/>
      <c r="BF65" s="31"/>
      <c r="BG65" s="31"/>
      <c r="BH65" s="31"/>
    </row>
    <row r="66" spans="1:60" ht="35.450000000000003" customHeight="1" x14ac:dyDescent="0.25">
      <c r="A66" s="41"/>
      <c r="B66" s="41"/>
      <c r="C66" s="41"/>
      <c r="D66" s="41"/>
      <c r="E66" s="41"/>
      <c r="F66" s="41"/>
      <c r="G66" s="41"/>
      <c r="H66" s="41"/>
      <c r="I66" s="41"/>
      <c r="J66" s="41"/>
      <c r="K66" s="41"/>
      <c r="L66" s="173"/>
      <c r="M66" s="173"/>
      <c r="N66" s="395"/>
      <c r="O66" s="395"/>
      <c r="P66" s="480"/>
      <c r="Q66" s="480"/>
      <c r="R66" s="480"/>
      <c r="S66" s="480"/>
      <c r="T66" s="480"/>
      <c r="U66" s="32" t="s">
        <v>2098</v>
      </c>
      <c r="V66" s="32"/>
      <c r="W66" s="488">
        <f>GRAFICI!M7</f>
        <v>0.5</v>
      </c>
      <c r="AB66" s="32"/>
      <c r="AD66" s="32"/>
      <c r="AE66" s="32"/>
      <c r="AF66" s="32"/>
      <c r="AG66" s="32"/>
      <c r="AH66" s="32"/>
      <c r="AI66" s="32" t="s">
        <v>2098</v>
      </c>
      <c r="AJ66" s="32"/>
      <c r="AK66" s="488">
        <f>W66</f>
        <v>0.5</v>
      </c>
      <c r="AP66" s="32"/>
      <c r="AR66" s="32"/>
      <c r="AS66" s="32"/>
      <c r="AT66" s="32"/>
      <c r="AU66" s="32" t="s">
        <v>2098</v>
      </c>
      <c r="AV66" s="32"/>
      <c r="AW66" s="488">
        <f>+W66</f>
        <v>0.5</v>
      </c>
      <c r="BB66" s="31"/>
      <c r="BD66" s="31"/>
      <c r="BE66" s="31"/>
      <c r="BF66" s="31"/>
      <c r="BG66" s="31"/>
      <c r="BH66" s="31"/>
    </row>
    <row r="67" spans="1:60" ht="18.600000000000001" customHeight="1" x14ac:dyDescent="0.2">
      <c r="A67" s="41"/>
      <c r="B67" s="41"/>
      <c r="C67" s="41"/>
      <c r="D67" s="41"/>
      <c r="E67" s="41"/>
      <c r="F67" s="41"/>
      <c r="G67" s="41"/>
      <c r="H67" s="41"/>
      <c r="I67" s="41"/>
      <c r="J67" s="41"/>
      <c r="K67" s="41"/>
      <c r="L67" s="173"/>
      <c r="M67" s="173"/>
      <c r="N67" s="395"/>
      <c r="O67" s="395"/>
      <c r="P67" s="480"/>
      <c r="Q67" s="480"/>
      <c r="R67" s="480"/>
      <c r="S67" s="480"/>
      <c r="T67" s="480"/>
      <c r="U67" s="45" t="s">
        <v>2100</v>
      </c>
      <c r="W67" s="450">
        <f>GRAFICI!M6</f>
        <v>1</v>
      </c>
      <c r="AB67" s="32"/>
      <c r="AD67" s="32"/>
      <c r="AE67" s="32"/>
      <c r="AF67" s="32"/>
      <c r="AG67" s="32"/>
      <c r="AH67" s="32"/>
      <c r="AI67" s="45" t="s">
        <v>2100</v>
      </c>
      <c r="AK67" s="450">
        <f>W67</f>
        <v>1</v>
      </c>
      <c r="AP67" s="32"/>
      <c r="AR67" s="32"/>
      <c r="AS67" s="32"/>
      <c r="AT67" s="32"/>
      <c r="AU67" s="45" t="s">
        <v>2100</v>
      </c>
      <c r="AW67" s="450">
        <f>+W67</f>
        <v>1</v>
      </c>
      <c r="BB67" s="31"/>
      <c r="BD67" s="31"/>
      <c r="BE67" s="31"/>
      <c r="BF67" s="31"/>
      <c r="BG67" s="31"/>
      <c r="BH67" s="31"/>
    </row>
    <row r="68" spans="1:60" ht="16.149999999999999" customHeight="1" x14ac:dyDescent="0.2">
      <c r="A68" s="41"/>
      <c r="B68" s="41"/>
      <c r="C68" s="41"/>
      <c r="D68" s="41"/>
      <c r="E68" s="41"/>
      <c r="F68" s="41"/>
      <c r="G68" s="41"/>
      <c r="H68" s="41"/>
      <c r="I68" s="41"/>
      <c r="J68" s="41"/>
      <c r="K68" s="41"/>
      <c r="L68" s="173"/>
      <c r="M68" s="173"/>
      <c r="N68" s="395"/>
      <c r="O68" s="395"/>
      <c r="P68" s="480"/>
      <c r="Q68" s="480"/>
      <c r="R68" s="480"/>
      <c r="S68" s="480"/>
      <c r="T68" s="480"/>
      <c r="AB68" s="32"/>
      <c r="AD68" s="32"/>
      <c r="AE68" s="32"/>
      <c r="AF68" s="32"/>
      <c r="AG68" s="32"/>
      <c r="AH68" s="32"/>
      <c r="AP68" s="32"/>
      <c r="AR68" s="32"/>
      <c r="AS68" s="32"/>
      <c r="AT68" s="32"/>
      <c r="BB68" s="31"/>
      <c r="BD68" s="31"/>
      <c r="BE68" s="31"/>
      <c r="BF68" s="31"/>
      <c r="BG68" s="31"/>
      <c r="BH68" s="31"/>
    </row>
    <row r="69" spans="1:60" ht="28.15" customHeight="1" x14ac:dyDescent="0.2">
      <c r="A69" s="41"/>
      <c r="B69" s="41"/>
      <c r="C69" s="260" t="str">
        <f>LINGUA!C517</f>
        <v>WARNING: the pre-heating must be supplied by an external device</v>
      </c>
      <c r="D69" s="41"/>
      <c r="E69" s="41"/>
      <c r="F69" s="41"/>
      <c r="G69" s="41"/>
      <c r="H69" s="41"/>
      <c r="I69" s="41"/>
      <c r="J69" s="41"/>
      <c r="K69" s="41"/>
      <c r="L69" s="173"/>
      <c r="M69" s="173"/>
      <c r="N69" s="395"/>
      <c r="O69" s="395"/>
      <c r="P69" s="480"/>
      <c r="Q69" s="480"/>
      <c r="R69" s="480"/>
      <c r="S69" s="480"/>
      <c r="T69" s="480"/>
      <c r="U69" s="450" t="s">
        <v>958</v>
      </c>
      <c r="V69" s="450" t="s">
        <v>934</v>
      </c>
      <c r="W69" s="450" t="s">
        <v>2101</v>
      </c>
      <c r="X69" s="450" t="s">
        <v>935</v>
      </c>
      <c r="Y69" s="450" t="s">
        <v>846</v>
      </c>
      <c r="Z69" s="450" t="s">
        <v>2073</v>
      </c>
      <c r="AA69" s="450" t="s">
        <v>2074</v>
      </c>
      <c r="AB69" s="450" t="s">
        <v>2099</v>
      </c>
      <c r="AC69" s="450" t="s">
        <v>2102</v>
      </c>
      <c r="AD69" s="450" t="s">
        <v>2097</v>
      </c>
      <c r="AE69" s="450" t="s">
        <v>2103</v>
      </c>
      <c r="AF69" s="450" t="s">
        <v>2104</v>
      </c>
      <c r="AG69" s="32"/>
      <c r="AH69" s="32"/>
      <c r="AI69" s="450" t="s">
        <v>958</v>
      </c>
      <c r="AJ69" s="450" t="s">
        <v>934</v>
      </c>
      <c r="AK69" s="450" t="s">
        <v>2101</v>
      </c>
      <c r="AL69" s="450" t="s">
        <v>935</v>
      </c>
      <c r="AM69" s="450" t="s">
        <v>846</v>
      </c>
      <c r="AN69" s="450" t="s">
        <v>2099</v>
      </c>
      <c r="AO69" s="450" t="s">
        <v>2102</v>
      </c>
      <c r="AP69" s="450" t="s">
        <v>2097</v>
      </c>
      <c r="AQ69" s="450" t="s">
        <v>2103</v>
      </c>
      <c r="AR69" s="450" t="s">
        <v>2104</v>
      </c>
      <c r="AU69" s="450" t="s">
        <v>958</v>
      </c>
      <c r="AV69" s="450" t="s">
        <v>934</v>
      </c>
      <c r="AW69" s="450" t="s">
        <v>2101</v>
      </c>
      <c r="AX69" s="450" t="s">
        <v>935</v>
      </c>
      <c r="AY69" s="450" t="s">
        <v>846</v>
      </c>
      <c r="AZ69" s="450" t="s">
        <v>2073</v>
      </c>
      <c r="BA69" s="450" t="s">
        <v>2074</v>
      </c>
      <c r="BB69" s="447" t="s">
        <v>2099</v>
      </c>
      <c r="BC69" s="447" t="s">
        <v>2102</v>
      </c>
      <c r="BD69" s="447" t="s">
        <v>2097</v>
      </c>
      <c r="BE69" s="447" t="s">
        <v>2103</v>
      </c>
      <c r="BF69" s="447" t="s">
        <v>2104</v>
      </c>
      <c r="BG69" s="31"/>
      <c r="BH69" s="31"/>
    </row>
    <row r="70" spans="1:60" ht="13.5" x14ac:dyDescent="0.25">
      <c r="A70" s="41"/>
      <c r="B70" s="41"/>
      <c r="C70" s="41"/>
      <c r="D70" s="41"/>
      <c r="E70" s="41"/>
      <c r="F70" s="41"/>
      <c r="G70" s="41"/>
      <c r="H70" s="41"/>
      <c r="I70" s="41"/>
      <c r="J70" s="41"/>
      <c r="K70" s="41"/>
      <c r="L70" s="173"/>
      <c r="M70" s="173"/>
      <c r="N70" s="395"/>
      <c r="O70" s="396"/>
      <c r="P70" s="489"/>
      <c r="Q70" s="489"/>
      <c r="R70" s="489"/>
      <c r="S70" s="489"/>
      <c r="T70" s="489"/>
      <c r="U70" s="32">
        <v>1</v>
      </c>
      <c r="V70" s="32" t="s">
        <v>936</v>
      </c>
      <c r="W70" s="32">
        <v>1.5</v>
      </c>
      <c r="X70" s="45">
        <v>1</v>
      </c>
      <c r="Y70" s="32">
        <v>22</v>
      </c>
      <c r="Z70" s="490">
        <v>1</v>
      </c>
      <c r="AA70" s="490"/>
      <c r="AB70" s="35">
        <f t="shared" ref="AB70:AB83" si="14">CEILING($E$84/W70,1)</f>
        <v>41</v>
      </c>
      <c r="AC70" s="490">
        <f t="shared" ref="AC70:AC82" si="15">MIN(AB70,$W$67)*W70</f>
        <v>1.5</v>
      </c>
      <c r="AD70" s="35">
        <f t="shared" ref="AD70:AD83" si="16">AC70*$W$66</f>
        <v>0.75</v>
      </c>
      <c r="AE70" s="35">
        <f t="shared" ref="AE70:AE83" si="17">IF(OR(AC70=$E$84,AC70&gt;$E$84),IF(OR(AD70=$E$84,AD70&lt;$E$84),1,0),0)</f>
        <v>0</v>
      </c>
      <c r="AF70" s="32">
        <f>AE70*U70</f>
        <v>0</v>
      </c>
      <c r="AG70" s="32"/>
      <c r="AH70" s="32"/>
      <c r="AI70" s="32">
        <v>27</v>
      </c>
      <c r="AJ70" s="32" t="s">
        <v>2994</v>
      </c>
      <c r="AK70" s="32">
        <v>2</v>
      </c>
      <c r="AL70" s="45">
        <v>1</v>
      </c>
      <c r="AM70" s="32">
        <v>30</v>
      </c>
      <c r="AN70" s="35">
        <f>CEILING($E$84/AK70,1)</f>
        <v>31</v>
      </c>
      <c r="AO70" s="490">
        <f>MIN(AN70,$AK$67)*AK70</f>
        <v>2</v>
      </c>
      <c r="AP70" s="35">
        <f>AO70*$AK$66</f>
        <v>1</v>
      </c>
      <c r="AQ70" s="35">
        <f>IF(OR(AO70=$E$84,AO70&gt;$E$84),IF(OR(AP70=$E$84,AP70&lt;$E$84),1,0),0)</f>
        <v>0</v>
      </c>
      <c r="AR70" s="32">
        <f>AQ70*AI70</f>
        <v>0</v>
      </c>
      <c r="AU70" s="32">
        <v>15</v>
      </c>
      <c r="AV70" s="32" t="s">
        <v>936</v>
      </c>
      <c r="AW70" s="32">
        <v>1.5</v>
      </c>
      <c r="AX70" s="45">
        <v>1</v>
      </c>
      <c r="AY70" s="32">
        <v>22</v>
      </c>
      <c r="AZ70" s="490">
        <v>1</v>
      </c>
      <c r="BA70" s="490"/>
      <c r="BB70" s="491">
        <f t="shared" ref="BB70:BB81" si="18">CEILING($E$84/AW70,1)</f>
        <v>41</v>
      </c>
      <c r="BC70" s="492">
        <f t="shared" ref="BC70:BC76" si="19">MIN(BB70,$W$67)*AW70</f>
        <v>1.5</v>
      </c>
      <c r="BD70" s="491">
        <f t="shared" ref="BD70:BD81" si="20">BC70*$W$66</f>
        <v>0.75</v>
      </c>
      <c r="BE70" s="491">
        <f t="shared" ref="BE70:BE81" si="21">IF(OR(BC70=$E$84,BC70&gt;$E$84),IF(OR(BD70=$E$84,BD70&lt;$E$84),1,0),0)</f>
        <v>0</v>
      </c>
      <c r="BF70" s="31">
        <f>BE70*AU70</f>
        <v>0</v>
      </c>
      <c r="BG70" s="31"/>
      <c r="BH70" s="31"/>
    </row>
    <row r="71" spans="1:60" ht="27" x14ac:dyDescent="0.25">
      <c r="A71" s="41"/>
      <c r="B71" s="130" t="str">
        <f>LINGUA!B54</f>
        <v>STEP 2</v>
      </c>
      <c r="C71" s="41"/>
      <c r="D71" s="41"/>
      <c r="E71" s="41"/>
      <c r="F71" s="41"/>
      <c r="G71" s="41"/>
      <c r="H71" s="41"/>
      <c r="I71" s="41"/>
      <c r="J71" s="41"/>
      <c r="K71" s="41"/>
      <c r="L71" s="173"/>
      <c r="M71" s="173"/>
      <c r="N71" s="395"/>
      <c r="O71" s="396"/>
      <c r="P71" s="489"/>
      <c r="Q71" s="489"/>
      <c r="R71" s="489"/>
      <c r="S71" s="489"/>
      <c r="T71" s="489"/>
      <c r="U71" s="32">
        <f>U70+1</f>
        <v>2</v>
      </c>
      <c r="V71" s="32" t="s">
        <v>937</v>
      </c>
      <c r="W71" s="32">
        <v>3</v>
      </c>
      <c r="X71" s="45">
        <v>1</v>
      </c>
      <c r="Y71" s="32">
        <v>22</v>
      </c>
      <c r="Z71" s="490">
        <v>1</v>
      </c>
      <c r="AA71" s="490">
        <v>1</v>
      </c>
      <c r="AB71" s="35">
        <f t="shared" si="14"/>
        <v>21</v>
      </c>
      <c r="AC71" s="490">
        <f t="shared" si="15"/>
        <v>3</v>
      </c>
      <c r="AD71" s="35">
        <f t="shared" si="16"/>
        <v>1.5</v>
      </c>
      <c r="AE71" s="35">
        <f t="shared" si="17"/>
        <v>0</v>
      </c>
      <c r="AF71" s="32">
        <f>IF(SUM(AF$70:AF70)=0,AE71,0)*U71</f>
        <v>0</v>
      </c>
      <c r="AG71" s="32"/>
      <c r="AH71" s="32"/>
      <c r="AI71" s="32">
        <f>AI70+1</f>
        <v>28</v>
      </c>
      <c r="AJ71" s="32" t="s">
        <v>2995</v>
      </c>
      <c r="AK71" s="32">
        <v>4</v>
      </c>
      <c r="AL71" s="45">
        <v>1</v>
      </c>
      <c r="AM71" s="32">
        <v>30</v>
      </c>
      <c r="AN71" s="35">
        <f>CEILING($E$84/AK71,1)</f>
        <v>16</v>
      </c>
      <c r="AO71" s="490">
        <f>MIN(AN71,$AK$67)*AK71</f>
        <v>4</v>
      </c>
      <c r="AP71" s="35">
        <f>AO71*$AK$66</f>
        <v>2</v>
      </c>
      <c r="AQ71" s="35">
        <f>IF(OR(AO71=$E$84,AO71&gt;$E$84),IF(OR(AP71=$E$84,AP71&lt;$E$84),1,0),0)</f>
        <v>0</v>
      </c>
      <c r="AR71" s="32">
        <f>IF(SUM(AR$70:AR70)=0,AQ71,0)*AI71</f>
        <v>0</v>
      </c>
      <c r="AU71" s="32">
        <f t="shared" ref="AU71:AU81" si="22">AU70+1</f>
        <v>16</v>
      </c>
      <c r="AV71" s="32" t="s">
        <v>937</v>
      </c>
      <c r="AW71" s="32">
        <v>3</v>
      </c>
      <c r="AX71" s="45">
        <v>1</v>
      </c>
      <c r="AY71" s="32">
        <v>22</v>
      </c>
      <c r="AZ71" s="490">
        <v>1</v>
      </c>
      <c r="BA71" s="490">
        <v>1</v>
      </c>
      <c r="BB71" s="491">
        <f t="shared" si="18"/>
        <v>21</v>
      </c>
      <c r="BC71" s="492">
        <f t="shared" si="19"/>
        <v>3</v>
      </c>
      <c r="BD71" s="491">
        <f t="shared" si="20"/>
        <v>1.5</v>
      </c>
      <c r="BE71" s="491">
        <f t="shared" si="21"/>
        <v>0</v>
      </c>
      <c r="BF71" s="31">
        <f>IF(SUM(BF$70:BF70)=0,BE71,0)*AU71</f>
        <v>0</v>
      </c>
      <c r="BG71" s="31"/>
      <c r="BH71" s="31"/>
    </row>
    <row r="72" spans="1:60" ht="13.5" x14ac:dyDescent="0.25">
      <c r="A72" s="41"/>
      <c r="B72" s="41"/>
      <c r="C72" s="41"/>
      <c r="D72" s="41"/>
      <c r="E72" s="41"/>
      <c r="F72" s="41"/>
      <c r="G72" s="41"/>
      <c r="H72" s="41"/>
      <c r="I72" s="41"/>
      <c r="J72" s="41"/>
      <c r="K72" s="41"/>
      <c r="L72" s="173"/>
      <c r="M72" s="173"/>
      <c r="N72" s="395"/>
      <c r="O72" s="396"/>
      <c r="P72" s="489"/>
      <c r="Q72" s="489"/>
      <c r="R72" s="489"/>
      <c r="S72" s="489"/>
      <c r="T72" s="489"/>
      <c r="U72" s="32">
        <f t="shared" ref="U72:U83" si="23">U71+1</f>
        <v>3</v>
      </c>
      <c r="V72" s="32" t="s">
        <v>938</v>
      </c>
      <c r="W72" s="32">
        <v>5</v>
      </c>
      <c r="X72" s="45">
        <v>1</v>
      </c>
      <c r="Y72" s="32">
        <v>30</v>
      </c>
      <c r="Z72" s="490">
        <v>1</v>
      </c>
      <c r="AA72" s="490">
        <v>1</v>
      </c>
      <c r="AB72" s="35">
        <f t="shared" si="14"/>
        <v>13</v>
      </c>
      <c r="AC72" s="490">
        <f t="shared" si="15"/>
        <v>5</v>
      </c>
      <c r="AD72" s="35">
        <f t="shared" si="16"/>
        <v>2.5</v>
      </c>
      <c r="AE72" s="35">
        <f t="shared" si="17"/>
        <v>0</v>
      </c>
      <c r="AF72" s="32">
        <f>IF(SUM(AF$70:AF71)=0,AE72,0)*U72</f>
        <v>0</v>
      </c>
      <c r="AG72" s="32"/>
      <c r="AH72" s="32"/>
      <c r="AI72" s="32">
        <f t="shared" ref="AI72:AI80" si="24">AI71+1</f>
        <v>29</v>
      </c>
      <c r="AJ72" s="32" t="s">
        <v>2996</v>
      </c>
      <c r="AK72" s="32">
        <v>6</v>
      </c>
      <c r="AL72" s="45">
        <v>1</v>
      </c>
      <c r="AM72" s="32">
        <v>30</v>
      </c>
      <c r="AN72" s="35">
        <f>CEILING($E$84/AK72,1)</f>
        <v>11</v>
      </c>
      <c r="AO72" s="490">
        <f>MIN(AN72,$AK$67)*AK72</f>
        <v>6</v>
      </c>
      <c r="AP72" s="35">
        <f>AO72*$AK$66</f>
        <v>3</v>
      </c>
      <c r="AQ72" s="35">
        <f>IF(OR(AO72=$E$84,AO72&gt;$E$84),IF(OR(AP72=$E$84,AP72&lt;$E$84),1,0),0)</f>
        <v>0</v>
      </c>
      <c r="AR72" s="32">
        <f>IF(SUM(AR$70:AR71)=0,AQ72,0)*AI72</f>
        <v>0</v>
      </c>
      <c r="AU72" s="32">
        <f t="shared" si="22"/>
        <v>17</v>
      </c>
      <c r="AV72" s="32" t="s">
        <v>938</v>
      </c>
      <c r="AW72" s="32">
        <v>5</v>
      </c>
      <c r="AX72" s="45">
        <v>1</v>
      </c>
      <c r="AY72" s="32">
        <v>30</v>
      </c>
      <c r="AZ72" s="490">
        <v>1</v>
      </c>
      <c r="BA72" s="490">
        <v>1</v>
      </c>
      <c r="BB72" s="491">
        <f t="shared" si="18"/>
        <v>13</v>
      </c>
      <c r="BC72" s="492">
        <f t="shared" si="19"/>
        <v>5</v>
      </c>
      <c r="BD72" s="491">
        <f t="shared" si="20"/>
        <v>2.5</v>
      </c>
      <c r="BE72" s="491">
        <f t="shared" si="21"/>
        <v>0</v>
      </c>
      <c r="BF72" s="31">
        <f>IF(SUM(BF$70:BF71)=0,BE72,0)*AU72</f>
        <v>0</v>
      </c>
      <c r="BG72" s="31"/>
      <c r="BH72" s="31"/>
    </row>
    <row r="73" spans="1:60" ht="13.5" x14ac:dyDescent="0.25">
      <c r="A73" s="41"/>
      <c r="B73" s="175"/>
      <c r="C73" s="176"/>
      <c r="D73" s="177"/>
      <c r="E73" s="177"/>
      <c r="F73" s="177"/>
      <c r="G73" s="177"/>
      <c r="H73" s="177"/>
      <c r="I73" s="178"/>
      <c r="J73" s="177"/>
      <c r="K73" s="179"/>
      <c r="L73" s="173"/>
      <c r="M73" s="173"/>
      <c r="N73" s="395"/>
      <c r="O73" s="396"/>
      <c r="P73" s="489"/>
      <c r="Q73" s="489"/>
      <c r="R73" s="489"/>
      <c r="S73" s="489"/>
      <c r="T73" s="489"/>
      <c r="U73" s="32">
        <f t="shared" si="23"/>
        <v>4</v>
      </c>
      <c r="V73" s="32" t="s">
        <v>939</v>
      </c>
      <c r="W73" s="32">
        <v>8</v>
      </c>
      <c r="X73" s="45">
        <v>1</v>
      </c>
      <c r="Y73" s="32">
        <v>30</v>
      </c>
      <c r="Z73" s="490"/>
      <c r="AA73" s="490">
        <v>1</v>
      </c>
      <c r="AB73" s="35">
        <f t="shared" si="14"/>
        <v>8</v>
      </c>
      <c r="AC73" s="490">
        <f t="shared" si="15"/>
        <v>8</v>
      </c>
      <c r="AD73" s="35">
        <f t="shared" si="16"/>
        <v>4</v>
      </c>
      <c r="AE73" s="35">
        <f t="shared" si="17"/>
        <v>0</v>
      </c>
      <c r="AF73" s="32">
        <f>IF(SUM(AF$70:AF72)=0,AE73,0)*U73</f>
        <v>0</v>
      </c>
      <c r="AG73" s="32"/>
      <c r="AH73" s="32"/>
      <c r="AI73" s="32">
        <f t="shared" si="24"/>
        <v>30</v>
      </c>
      <c r="AJ73" s="32" t="s">
        <v>2997</v>
      </c>
      <c r="AK73" s="32">
        <v>10</v>
      </c>
      <c r="AL73" s="45">
        <v>1</v>
      </c>
      <c r="AM73" s="32">
        <v>30</v>
      </c>
      <c r="AN73" s="35">
        <f>CEILING($E$84/AK73,1)</f>
        <v>7</v>
      </c>
      <c r="AO73" s="490">
        <f>MIN(AN73,$AK$67)*AK73</f>
        <v>10</v>
      </c>
      <c r="AP73" s="35">
        <f>AO73*$AK$66</f>
        <v>5</v>
      </c>
      <c r="AQ73" s="35">
        <f>IF(OR(AO73=$E$84,AO73&gt;$E$84),IF(OR(AP73=$E$84,AP73&lt;$E$84),1,0),0)</f>
        <v>0</v>
      </c>
      <c r="AR73" s="32">
        <f>IF(SUM(AR$70:AR72)=0,AQ73,0)*AI73</f>
        <v>0</v>
      </c>
      <c r="AU73" s="32">
        <f t="shared" si="22"/>
        <v>18</v>
      </c>
      <c r="AV73" s="32" t="s">
        <v>939</v>
      </c>
      <c r="AW73" s="32">
        <v>8</v>
      </c>
      <c r="AX73" s="45">
        <v>1</v>
      </c>
      <c r="AY73" s="32">
        <v>30</v>
      </c>
      <c r="AZ73" s="490"/>
      <c r="BA73" s="490">
        <v>1</v>
      </c>
      <c r="BB73" s="491">
        <f t="shared" si="18"/>
        <v>8</v>
      </c>
      <c r="BC73" s="492">
        <f t="shared" si="19"/>
        <v>8</v>
      </c>
      <c r="BD73" s="491">
        <f t="shared" si="20"/>
        <v>4</v>
      </c>
      <c r="BE73" s="491">
        <f t="shared" si="21"/>
        <v>0</v>
      </c>
      <c r="BF73" s="31">
        <f>IF(SUM(BF$70:BF72)=0,BE73,0)*AU73</f>
        <v>0</v>
      </c>
      <c r="BG73" s="31"/>
      <c r="BH73" s="31"/>
    </row>
    <row r="74" spans="1:60" ht="13.5" x14ac:dyDescent="0.25">
      <c r="A74" s="41"/>
      <c r="B74" s="147"/>
      <c r="C74" s="180" t="str">
        <f>LINGUA!B14</f>
        <v>Duct</v>
      </c>
      <c r="D74" s="181"/>
      <c r="E74" s="182"/>
      <c r="F74" s="182"/>
      <c r="G74" s="182"/>
      <c r="H74" s="182"/>
      <c r="I74" s="183"/>
      <c r="J74" s="183"/>
      <c r="K74" s="184"/>
      <c r="L74" s="173"/>
      <c r="M74" s="173"/>
      <c r="N74" s="395"/>
      <c r="O74" s="396"/>
      <c r="P74" s="489"/>
      <c r="Q74" s="489"/>
      <c r="R74" s="489"/>
      <c r="S74" s="489"/>
      <c r="T74" s="489"/>
      <c r="U74" s="32">
        <f t="shared" si="23"/>
        <v>5</v>
      </c>
      <c r="V74" s="45" t="s">
        <v>940</v>
      </c>
      <c r="W74" s="45">
        <v>9</v>
      </c>
      <c r="X74" s="45">
        <v>1</v>
      </c>
      <c r="Y74" s="45">
        <v>30</v>
      </c>
      <c r="Z74" s="490">
        <v>1</v>
      </c>
      <c r="AA74" s="490"/>
      <c r="AB74" s="490">
        <f t="shared" si="14"/>
        <v>7</v>
      </c>
      <c r="AC74" s="490">
        <f t="shared" si="15"/>
        <v>9</v>
      </c>
      <c r="AD74" s="490">
        <f t="shared" si="16"/>
        <v>4.5</v>
      </c>
      <c r="AE74" s="490">
        <f t="shared" si="17"/>
        <v>0</v>
      </c>
      <c r="AF74" s="32">
        <f>IF(SUM(AF$70:AF73)=0,AE74,0)*U74</f>
        <v>0</v>
      </c>
      <c r="AG74" s="32"/>
      <c r="AH74" s="32"/>
      <c r="AI74" s="32">
        <f t="shared" si="24"/>
        <v>31</v>
      </c>
      <c r="AJ74" s="32" t="s">
        <v>3002</v>
      </c>
      <c r="AK74" s="45">
        <v>13</v>
      </c>
      <c r="AL74" s="45">
        <v>1</v>
      </c>
      <c r="AM74" s="45">
        <v>30</v>
      </c>
      <c r="AN74" s="35">
        <f>CEILING($E$84/AK74,1)</f>
        <v>5</v>
      </c>
      <c r="AO74" s="490">
        <f>MIN(AN74,$AK$67)*AK74</f>
        <v>13</v>
      </c>
      <c r="AP74" s="35">
        <f>AO74*$AK$66</f>
        <v>6.5</v>
      </c>
      <c r="AQ74" s="35">
        <f>IF(OR(AO74=$E$84,AO74&gt;$E$84),IF(OR(AP74=$E$84,AP74&lt;$E$84),1,0),0)</f>
        <v>0</v>
      </c>
      <c r="AR74" s="32">
        <f>IF(SUM(AR$70:AR73)=0,AQ74,0)*AI74</f>
        <v>0</v>
      </c>
      <c r="AU74" s="32">
        <f t="shared" si="22"/>
        <v>19</v>
      </c>
      <c r="AV74" s="45" t="s">
        <v>940</v>
      </c>
      <c r="AW74" s="45">
        <v>9</v>
      </c>
      <c r="AX74" s="45">
        <v>1</v>
      </c>
      <c r="AY74" s="45">
        <v>30</v>
      </c>
      <c r="AZ74" s="490">
        <v>1</v>
      </c>
      <c r="BA74" s="490"/>
      <c r="BB74" s="492">
        <f t="shared" si="18"/>
        <v>7</v>
      </c>
      <c r="BC74" s="492">
        <f t="shared" si="19"/>
        <v>9</v>
      </c>
      <c r="BD74" s="492">
        <f t="shared" si="20"/>
        <v>4.5</v>
      </c>
      <c r="BE74" s="492">
        <f t="shared" si="21"/>
        <v>0</v>
      </c>
      <c r="BF74" s="31">
        <f>IF(SUM(BF$70:BF73)=0,BE74,0)*AU74</f>
        <v>0</v>
      </c>
      <c r="BG74" s="31"/>
      <c r="BH74" s="31"/>
    </row>
    <row r="75" spans="1:60" ht="13.5" x14ac:dyDescent="0.25">
      <c r="A75" s="41"/>
      <c r="B75" s="147"/>
      <c r="C75" s="149" t="str">
        <f>LINGUA!B15</f>
        <v>Internal width C1</v>
      </c>
      <c r="D75" s="149"/>
      <c r="E75" s="185">
        <v>1200</v>
      </c>
      <c r="F75" s="186" t="str">
        <f>LINGUA!K3</f>
        <v>mm</v>
      </c>
      <c r="G75" s="183"/>
      <c r="H75" s="183"/>
      <c r="I75" s="183"/>
      <c r="J75" s="183"/>
      <c r="K75" s="184"/>
      <c r="L75" s="174"/>
      <c r="M75" s="174"/>
      <c r="N75" s="396"/>
      <c r="O75" s="396"/>
      <c r="P75" s="489"/>
      <c r="Q75" s="489"/>
      <c r="R75" s="489"/>
      <c r="S75" s="489"/>
      <c r="T75" s="489"/>
      <c r="U75" s="32">
        <f t="shared" si="23"/>
        <v>6</v>
      </c>
      <c r="V75" s="32" t="s">
        <v>941</v>
      </c>
      <c r="W75" s="32">
        <v>10</v>
      </c>
      <c r="X75" s="45">
        <v>1</v>
      </c>
      <c r="Y75" s="32">
        <v>30</v>
      </c>
      <c r="Z75" s="490"/>
      <c r="AA75" s="490">
        <v>1</v>
      </c>
      <c r="AB75" s="35">
        <f t="shared" si="14"/>
        <v>7</v>
      </c>
      <c r="AC75" s="490">
        <f t="shared" si="15"/>
        <v>10</v>
      </c>
      <c r="AD75" s="35">
        <f t="shared" si="16"/>
        <v>5</v>
      </c>
      <c r="AE75" s="35">
        <f t="shared" si="17"/>
        <v>0</v>
      </c>
      <c r="AF75" s="32">
        <f>IF(SUM(AF$70:AF74)=0,AE75,0)*U75</f>
        <v>0</v>
      </c>
      <c r="AG75" s="32"/>
      <c r="AH75" s="32"/>
      <c r="AI75" s="32">
        <f t="shared" si="24"/>
        <v>32</v>
      </c>
      <c r="AJ75" s="45" t="s">
        <v>2998</v>
      </c>
      <c r="AK75" s="45">
        <v>20</v>
      </c>
      <c r="AL75" s="45">
        <v>1</v>
      </c>
      <c r="AM75" s="45">
        <v>40</v>
      </c>
      <c r="AN75" s="490">
        <f t="shared" ref="AN75:AN80" si="25">CEILING($E$84/AK75,1)</f>
        <v>4</v>
      </c>
      <c r="AO75" s="490">
        <f t="shared" ref="AO75:AO80" si="26">MIN(AN75,$AK$67)*AK75</f>
        <v>20</v>
      </c>
      <c r="AP75" s="35">
        <f t="shared" ref="AP75:AP80" si="27">AO75*$AK$66</f>
        <v>10</v>
      </c>
      <c r="AQ75" s="490">
        <f t="shared" ref="AQ75:AQ80" si="28">IF(OR(AO75=$E$84,AO75&gt;$E$84),IF(OR(AP75=$E$84,AP75&lt;$E$84),1,0),0)</f>
        <v>0</v>
      </c>
      <c r="AR75" s="32">
        <f>IF(SUM(AR$70:AR74)=0,AQ75,0)*AI75</f>
        <v>0</v>
      </c>
      <c r="AU75" s="32">
        <f t="shared" si="22"/>
        <v>20</v>
      </c>
      <c r="AV75" s="32" t="s">
        <v>941</v>
      </c>
      <c r="AW75" s="32">
        <v>10</v>
      </c>
      <c r="AX75" s="45">
        <v>1</v>
      </c>
      <c r="AY75" s="32">
        <v>30</v>
      </c>
      <c r="AZ75" s="490"/>
      <c r="BA75" s="490">
        <v>1</v>
      </c>
      <c r="BB75" s="491">
        <f t="shared" si="18"/>
        <v>7</v>
      </c>
      <c r="BC75" s="492">
        <f t="shared" si="19"/>
        <v>10</v>
      </c>
      <c r="BD75" s="491">
        <f t="shared" si="20"/>
        <v>5</v>
      </c>
      <c r="BE75" s="491">
        <f t="shared" si="21"/>
        <v>0</v>
      </c>
      <c r="BF75" s="31">
        <f>IF(SUM(BF$70:BF74)=0,BE75,0)*AU75</f>
        <v>0</v>
      </c>
      <c r="BG75" s="31"/>
      <c r="BH75" s="31"/>
    </row>
    <row r="76" spans="1:60" x14ac:dyDescent="0.2">
      <c r="A76" s="41"/>
      <c r="B76" s="147"/>
      <c r="C76" s="149" t="str">
        <f>LINGUA!B16</f>
        <v>Internal height C2</v>
      </c>
      <c r="D76" s="149"/>
      <c r="E76" s="185">
        <v>1100</v>
      </c>
      <c r="F76" s="186" t="str">
        <f>LINGUA!K3</f>
        <v>mm</v>
      </c>
      <c r="G76" s="183"/>
      <c r="H76" s="183"/>
      <c r="I76" s="183"/>
      <c r="J76" s="183"/>
      <c r="K76" s="184"/>
      <c r="L76" s="174"/>
      <c r="M76" s="174"/>
      <c r="N76" s="396"/>
      <c r="O76" s="394"/>
      <c r="P76" s="115"/>
      <c r="Q76" s="115"/>
      <c r="R76" s="115"/>
      <c r="S76" s="115"/>
      <c r="T76" s="115"/>
      <c r="U76" s="32">
        <f t="shared" si="23"/>
        <v>7</v>
      </c>
      <c r="V76" s="32" t="s">
        <v>942</v>
      </c>
      <c r="W76" s="32">
        <v>15</v>
      </c>
      <c r="X76" s="45">
        <v>1</v>
      </c>
      <c r="Y76" s="32">
        <v>30</v>
      </c>
      <c r="Z76" s="490"/>
      <c r="AA76" s="490">
        <v>1</v>
      </c>
      <c r="AB76" s="35">
        <f t="shared" si="14"/>
        <v>5</v>
      </c>
      <c r="AC76" s="490">
        <f t="shared" si="15"/>
        <v>15</v>
      </c>
      <c r="AD76" s="35">
        <f t="shared" si="16"/>
        <v>7.5</v>
      </c>
      <c r="AE76" s="35">
        <f>IF(OR(AC76=$E$84,AC76&gt;$E$84),IF(OR(AD76=$E$84,AD76&lt;$E$84),1,0),0)</f>
        <v>0</v>
      </c>
      <c r="AF76" s="32">
        <f>IF(SUM(AF$70:AF75)=0,AE76,0)*U76</f>
        <v>0</v>
      </c>
      <c r="AG76" s="32"/>
      <c r="AH76" s="32"/>
      <c r="AI76" s="32">
        <f t="shared" si="24"/>
        <v>33</v>
      </c>
      <c r="AJ76" s="32" t="s">
        <v>2999</v>
      </c>
      <c r="AK76" s="32">
        <v>27</v>
      </c>
      <c r="AL76" s="45">
        <v>1</v>
      </c>
      <c r="AM76" s="32">
        <v>40</v>
      </c>
      <c r="AN76" s="35">
        <f t="shared" si="25"/>
        <v>3</v>
      </c>
      <c r="AO76" s="490">
        <f t="shared" si="26"/>
        <v>27</v>
      </c>
      <c r="AP76" s="35">
        <f t="shared" si="27"/>
        <v>13.5</v>
      </c>
      <c r="AQ76" s="35">
        <f t="shared" si="28"/>
        <v>0</v>
      </c>
      <c r="AR76" s="32">
        <f>IF(SUM(AR$70:AR75)=0,AQ76,0)*AI76</f>
        <v>0</v>
      </c>
      <c r="AU76" s="32">
        <f t="shared" si="22"/>
        <v>21</v>
      </c>
      <c r="AV76" s="32" t="s">
        <v>942</v>
      </c>
      <c r="AW76" s="32">
        <v>15</v>
      </c>
      <c r="AX76" s="45">
        <v>1</v>
      </c>
      <c r="AY76" s="32">
        <v>30</v>
      </c>
      <c r="AZ76" s="490"/>
      <c r="BA76" s="490">
        <v>1</v>
      </c>
      <c r="BB76" s="491">
        <f t="shared" si="18"/>
        <v>5</v>
      </c>
      <c r="BC76" s="492">
        <f t="shared" si="19"/>
        <v>15</v>
      </c>
      <c r="BD76" s="491">
        <f t="shared" si="20"/>
        <v>7.5</v>
      </c>
      <c r="BE76" s="491">
        <f t="shared" si="21"/>
        <v>0</v>
      </c>
      <c r="BF76" s="31">
        <f>IF(SUM(BF$70:BF75)=0,BE76,0)*AU76</f>
        <v>0</v>
      </c>
      <c r="BG76" s="31"/>
      <c r="BH76" s="31"/>
    </row>
    <row r="77" spans="1:60" x14ac:dyDescent="0.2">
      <c r="A77" s="41"/>
      <c r="B77" s="147"/>
      <c r="C77" s="400" t="str">
        <f>LINGUA!B18</f>
        <v>Air flow V</v>
      </c>
      <c r="D77" s="400"/>
      <c r="E77" s="185">
        <v>10000</v>
      </c>
      <c r="F77" s="401" t="str">
        <f>LINGUA!K7</f>
        <v>m^3/h</v>
      </c>
      <c r="G77" s="183"/>
      <c r="H77" s="183"/>
      <c r="I77" s="183"/>
      <c r="J77" s="183"/>
      <c r="K77" s="184"/>
      <c r="L77" s="174"/>
      <c r="M77" s="174"/>
      <c r="N77" s="396"/>
      <c r="O77" s="394"/>
      <c r="P77" s="115"/>
      <c r="Q77" s="115"/>
      <c r="R77" s="115"/>
      <c r="S77" s="115"/>
      <c r="T77" s="115"/>
      <c r="U77" s="32">
        <f>U76+1</f>
        <v>8</v>
      </c>
      <c r="V77" s="32" t="s">
        <v>2072</v>
      </c>
      <c r="W77" s="32">
        <v>18</v>
      </c>
      <c r="X77" s="45">
        <v>1</v>
      </c>
      <c r="Y77" s="32">
        <v>30</v>
      </c>
      <c r="Z77" s="490"/>
      <c r="AA77" s="490">
        <v>1</v>
      </c>
      <c r="AB77" s="35">
        <f t="shared" si="14"/>
        <v>4</v>
      </c>
      <c r="AC77" s="490">
        <f>MIN(AB77,$W$67)*W77</f>
        <v>18</v>
      </c>
      <c r="AD77" s="35">
        <f>AC77*$W$66</f>
        <v>9</v>
      </c>
      <c r="AE77" s="35">
        <f t="shared" si="17"/>
        <v>0</v>
      </c>
      <c r="AF77" s="32">
        <f>IF(SUM(AF$70:AF76)=0,AE77,0)*U77</f>
        <v>0</v>
      </c>
      <c r="AG77" s="32"/>
      <c r="AH77" s="32"/>
      <c r="AI77" s="32">
        <f t="shared" si="24"/>
        <v>34</v>
      </c>
      <c r="AJ77" s="32" t="s">
        <v>3000</v>
      </c>
      <c r="AK77" s="32">
        <v>40</v>
      </c>
      <c r="AL77" s="45">
        <v>1</v>
      </c>
      <c r="AM77" s="32">
        <v>40</v>
      </c>
      <c r="AN77" s="35">
        <f t="shared" si="25"/>
        <v>2</v>
      </c>
      <c r="AO77" s="490">
        <f t="shared" si="26"/>
        <v>40</v>
      </c>
      <c r="AP77" s="35">
        <f t="shared" si="27"/>
        <v>20</v>
      </c>
      <c r="AQ77" s="35">
        <f t="shared" si="28"/>
        <v>0</v>
      </c>
      <c r="AR77" s="32">
        <f>IF(SUM(AR$70:AR76)=0,AQ77,0)*AI77</f>
        <v>0</v>
      </c>
      <c r="AU77" s="32">
        <f t="shared" si="22"/>
        <v>22</v>
      </c>
      <c r="AV77" s="32" t="s">
        <v>2072</v>
      </c>
      <c r="AW77" s="32">
        <v>18</v>
      </c>
      <c r="AX77" s="45">
        <v>1</v>
      </c>
      <c r="AY77" s="32">
        <v>30</v>
      </c>
      <c r="AZ77" s="490"/>
      <c r="BA77" s="490">
        <v>1</v>
      </c>
      <c r="BB77" s="491">
        <f t="shared" si="18"/>
        <v>4</v>
      </c>
      <c r="BC77" s="492">
        <f>MIN(BB77,$W$67)*AW77</f>
        <v>18</v>
      </c>
      <c r="BD77" s="491">
        <f>BC77*$W$66</f>
        <v>9</v>
      </c>
      <c r="BE77" s="491">
        <f t="shared" si="21"/>
        <v>0</v>
      </c>
      <c r="BF77" s="31">
        <f>IF(SUM(BF$70:BF76)=0,BE77,0)*AU77</f>
        <v>0</v>
      </c>
      <c r="BG77" s="31"/>
      <c r="BH77" s="31"/>
    </row>
    <row r="78" spans="1:60" x14ac:dyDescent="0.2">
      <c r="A78" s="41"/>
      <c r="B78" s="147"/>
      <c r="C78" s="149" t="str">
        <f>LINGUA!B19</f>
        <v>Air flow GA</v>
      </c>
      <c r="D78" s="149"/>
      <c r="E78" s="187">
        <f>(E77*29*(AF42/(V31*(V27+AG43))))/(1+1.6078*J36/1000)</f>
        <v>12054.746522973534</v>
      </c>
      <c r="F78" s="186" t="str">
        <f>LINGUA!K8</f>
        <v>kg/h</v>
      </c>
      <c r="G78" s="183"/>
      <c r="H78" s="183"/>
      <c r="I78" s="183"/>
      <c r="J78" s="183"/>
      <c r="K78" s="184"/>
      <c r="L78" s="174"/>
      <c r="M78" s="174"/>
      <c r="N78" s="396"/>
      <c r="O78" s="394"/>
      <c r="P78" s="115"/>
      <c r="Q78" s="115"/>
      <c r="R78" s="115"/>
      <c r="S78" s="115"/>
      <c r="T78" s="115"/>
      <c r="U78" s="32">
        <f t="shared" si="23"/>
        <v>9</v>
      </c>
      <c r="V78" s="32" t="s">
        <v>943</v>
      </c>
      <c r="W78" s="32">
        <v>25</v>
      </c>
      <c r="X78" s="45">
        <v>1</v>
      </c>
      <c r="Y78" s="32">
        <v>40</v>
      </c>
      <c r="Z78" s="490"/>
      <c r="AA78" s="490">
        <v>1</v>
      </c>
      <c r="AB78" s="35">
        <f t="shared" si="14"/>
        <v>3</v>
      </c>
      <c r="AC78" s="490">
        <f t="shared" si="15"/>
        <v>25</v>
      </c>
      <c r="AD78" s="35">
        <f t="shared" si="16"/>
        <v>12.5</v>
      </c>
      <c r="AE78" s="35">
        <f t="shared" si="17"/>
        <v>0</v>
      </c>
      <c r="AF78" s="32">
        <f>IF(SUM(AF$70:AF77)=0,AE78,0)*U78</f>
        <v>0</v>
      </c>
      <c r="AG78" s="32"/>
      <c r="AH78" s="32"/>
      <c r="AI78" s="32">
        <f t="shared" si="24"/>
        <v>35</v>
      </c>
      <c r="AJ78" s="32" t="s">
        <v>3003</v>
      </c>
      <c r="AK78" s="45">
        <v>53</v>
      </c>
      <c r="AL78" s="45">
        <v>2</v>
      </c>
      <c r="AM78" s="32">
        <v>40</v>
      </c>
      <c r="AN78" s="35">
        <f t="shared" si="25"/>
        <v>2</v>
      </c>
      <c r="AO78" s="490">
        <f t="shared" si="26"/>
        <v>53</v>
      </c>
      <c r="AP78" s="35">
        <f t="shared" si="27"/>
        <v>26.5</v>
      </c>
      <c r="AQ78" s="35">
        <f t="shared" si="28"/>
        <v>0</v>
      </c>
      <c r="AR78" s="32">
        <f>IF(SUM(AR$70:AR77)=0,AQ78,0)*AI78</f>
        <v>0</v>
      </c>
      <c r="AS78" s="35"/>
      <c r="AT78" s="32"/>
      <c r="AU78" s="32">
        <f t="shared" si="22"/>
        <v>23</v>
      </c>
      <c r="AV78" s="32" t="s">
        <v>943</v>
      </c>
      <c r="AW78" s="32">
        <v>25</v>
      </c>
      <c r="AX78" s="45">
        <v>1</v>
      </c>
      <c r="AY78" s="32">
        <v>40</v>
      </c>
      <c r="AZ78" s="490"/>
      <c r="BA78" s="490">
        <v>1</v>
      </c>
      <c r="BB78" s="491">
        <f t="shared" si="18"/>
        <v>3</v>
      </c>
      <c r="BC78" s="492">
        <f>MIN(BB78,$W$67)*AW78</f>
        <v>25</v>
      </c>
      <c r="BD78" s="491">
        <f t="shared" si="20"/>
        <v>12.5</v>
      </c>
      <c r="BE78" s="491">
        <f t="shared" si="21"/>
        <v>0</v>
      </c>
      <c r="BF78" s="31">
        <f>IF(SUM(BF$70:BF77)=0,BE78,0)*AU78</f>
        <v>0</v>
      </c>
      <c r="BG78" s="31"/>
      <c r="BH78" s="31"/>
    </row>
    <row r="79" spans="1:60" x14ac:dyDescent="0.2">
      <c r="A79" s="41"/>
      <c r="B79" s="147"/>
      <c r="C79" s="149" t="str">
        <f>LINGUA!B20</f>
        <v>Air speed</v>
      </c>
      <c r="D79" s="149"/>
      <c r="E79" s="188">
        <f>(1000*1000)*E77/(3600*E75*E76)</f>
        <v>2.1043771043771042</v>
      </c>
      <c r="F79" s="186" t="str">
        <f>LINGUA!K5</f>
        <v>m/sec</v>
      </c>
      <c r="G79" s="183"/>
      <c r="H79" s="183"/>
      <c r="I79" s="183"/>
      <c r="J79" s="183"/>
      <c r="K79" s="184"/>
      <c r="L79" s="174"/>
      <c r="M79" s="174"/>
      <c r="N79" s="396"/>
      <c r="O79" s="394"/>
      <c r="P79" s="115"/>
      <c r="Q79" s="115"/>
      <c r="R79" s="115"/>
      <c r="S79" s="115"/>
      <c r="T79" s="115"/>
      <c r="U79" s="32">
        <f t="shared" si="23"/>
        <v>10</v>
      </c>
      <c r="V79" s="32" t="s">
        <v>944</v>
      </c>
      <c r="W79" s="32">
        <v>35</v>
      </c>
      <c r="X79" s="45">
        <v>1</v>
      </c>
      <c r="Y79" s="32">
        <v>40</v>
      </c>
      <c r="Z79" s="490"/>
      <c r="AA79" s="490">
        <v>1</v>
      </c>
      <c r="AB79" s="35">
        <f t="shared" si="14"/>
        <v>2</v>
      </c>
      <c r="AC79" s="490">
        <f t="shared" si="15"/>
        <v>35</v>
      </c>
      <c r="AD79" s="35">
        <f t="shared" si="16"/>
        <v>17.5</v>
      </c>
      <c r="AE79" s="35">
        <f t="shared" si="17"/>
        <v>0</v>
      </c>
      <c r="AF79" s="32">
        <f>IF(SUM(AF$70:AF78)=0,AE79,0)*U79</f>
        <v>0</v>
      </c>
      <c r="AG79" s="32"/>
      <c r="AH79" s="32"/>
      <c r="AI79" s="32">
        <f t="shared" si="24"/>
        <v>36</v>
      </c>
      <c r="AJ79" s="32" t="s">
        <v>3001</v>
      </c>
      <c r="AK79" s="32">
        <v>60</v>
      </c>
      <c r="AL79" s="45">
        <v>2</v>
      </c>
      <c r="AM79" s="32">
        <v>40</v>
      </c>
      <c r="AN79" s="35">
        <f t="shared" si="25"/>
        <v>2</v>
      </c>
      <c r="AO79" s="490">
        <f t="shared" si="26"/>
        <v>60</v>
      </c>
      <c r="AP79" s="35">
        <f t="shared" si="27"/>
        <v>30</v>
      </c>
      <c r="AQ79" s="35">
        <f t="shared" si="28"/>
        <v>0</v>
      </c>
      <c r="AR79" s="32">
        <f>IF(SUM(AR$70:AR78)=0,AQ79,0)*AI79</f>
        <v>0</v>
      </c>
      <c r="AS79" s="35"/>
      <c r="AT79" s="32"/>
      <c r="AU79" s="32">
        <f t="shared" si="22"/>
        <v>24</v>
      </c>
      <c r="AV79" s="32" t="s">
        <v>944</v>
      </c>
      <c r="AW79" s="32">
        <v>35</v>
      </c>
      <c r="AX79" s="45">
        <v>1</v>
      </c>
      <c r="AY79" s="32">
        <v>40</v>
      </c>
      <c r="AZ79" s="490"/>
      <c r="BA79" s="490">
        <v>1</v>
      </c>
      <c r="BB79" s="491">
        <f t="shared" si="18"/>
        <v>2</v>
      </c>
      <c r="BC79" s="492">
        <f>MIN(BB79,$W$67)*AW79</f>
        <v>35</v>
      </c>
      <c r="BD79" s="491">
        <f t="shared" si="20"/>
        <v>17.5</v>
      </c>
      <c r="BE79" s="491">
        <f t="shared" si="21"/>
        <v>0</v>
      </c>
      <c r="BF79" s="31">
        <f>IF(SUM(BF$70:BF78)=0,BE79,0)*AU79</f>
        <v>0</v>
      </c>
      <c r="BG79" s="31"/>
      <c r="BH79" s="31"/>
    </row>
    <row r="80" spans="1:60" x14ac:dyDescent="0.2">
      <c r="A80" s="41"/>
      <c r="B80" s="147"/>
      <c r="G80" s="183"/>
      <c r="H80" s="183"/>
      <c r="I80" s="183"/>
      <c r="J80" s="183"/>
      <c r="K80" s="184"/>
      <c r="L80" s="174"/>
      <c r="M80" s="174"/>
      <c r="N80" s="396"/>
      <c r="O80" s="394"/>
      <c r="P80" s="115"/>
      <c r="Q80" s="115"/>
      <c r="R80" s="115"/>
      <c r="S80" s="115"/>
      <c r="T80" s="115"/>
      <c r="U80" s="32">
        <f t="shared" si="23"/>
        <v>11</v>
      </c>
      <c r="V80" s="32" t="s">
        <v>945</v>
      </c>
      <c r="W80" s="32">
        <v>45</v>
      </c>
      <c r="X80" s="45">
        <v>1</v>
      </c>
      <c r="Y80" s="32">
        <v>40</v>
      </c>
      <c r="Z80" s="490"/>
      <c r="AA80" s="490">
        <v>1</v>
      </c>
      <c r="AB80" s="35">
        <f t="shared" si="14"/>
        <v>2</v>
      </c>
      <c r="AC80" s="490">
        <f t="shared" si="15"/>
        <v>45</v>
      </c>
      <c r="AD80" s="35">
        <f t="shared" si="16"/>
        <v>22.5</v>
      </c>
      <c r="AE80" s="35">
        <f t="shared" si="17"/>
        <v>0</v>
      </c>
      <c r="AF80" s="32">
        <f>IF(SUM(AF$70:AF79)=0,AE80,0)*U80</f>
        <v>0</v>
      </c>
      <c r="AG80" s="32"/>
      <c r="AH80" s="32"/>
      <c r="AI80" s="32">
        <f t="shared" si="24"/>
        <v>37</v>
      </c>
      <c r="AJ80" s="32" t="s">
        <v>3004</v>
      </c>
      <c r="AK80" s="32">
        <v>80</v>
      </c>
      <c r="AL80" s="45">
        <v>2</v>
      </c>
      <c r="AM80" s="32">
        <v>40</v>
      </c>
      <c r="AN80" s="35">
        <f t="shared" si="25"/>
        <v>1</v>
      </c>
      <c r="AO80" s="490">
        <f t="shared" si="26"/>
        <v>80</v>
      </c>
      <c r="AP80" s="35">
        <f t="shared" si="27"/>
        <v>40</v>
      </c>
      <c r="AQ80" s="35">
        <f t="shared" si="28"/>
        <v>1</v>
      </c>
      <c r="AR80" s="32">
        <f>IF(SUM(AR$70:AR79)=0,AQ80,0)*AI80</f>
        <v>37</v>
      </c>
      <c r="AS80" s="35"/>
      <c r="AT80" s="32"/>
      <c r="AU80" s="32">
        <f t="shared" si="22"/>
        <v>25</v>
      </c>
      <c r="AV80" s="32" t="s">
        <v>945</v>
      </c>
      <c r="AW80" s="32">
        <v>45</v>
      </c>
      <c r="AX80" s="45">
        <v>1</v>
      </c>
      <c r="AY80" s="32">
        <v>40</v>
      </c>
      <c r="AZ80" s="490"/>
      <c r="BA80" s="490">
        <v>1</v>
      </c>
      <c r="BB80" s="491">
        <f t="shared" si="18"/>
        <v>2</v>
      </c>
      <c r="BC80" s="492">
        <f>MIN(BB80,$W$67)*AW80</f>
        <v>45</v>
      </c>
      <c r="BD80" s="491">
        <f t="shared" si="20"/>
        <v>22.5</v>
      </c>
      <c r="BE80" s="491">
        <f t="shared" si="21"/>
        <v>0</v>
      </c>
      <c r="BF80" s="31">
        <f>IF(SUM(BF$70:BF79)=0,BE80,0)*AU80</f>
        <v>0</v>
      </c>
      <c r="BG80" s="31"/>
      <c r="BH80" s="31"/>
    </row>
    <row r="81" spans="1:60" x14ac:dyDescent="0.2">
      <c r="A81" s="41"/>
      <c r="B81" s="155"/>
      <c r="C81" s="156"/>
      <c r="D81" s="156"/>
      <c r="E81" s="156"/>
      <c r="F81" s="156"/>
      <c r="G81" s="189"/>
      <c r="H81" s="189"/>
      <c r="I81" s="189"/>
      <c r="J81" s="189"/>
      <c r="K81" s="190"/>
      <c r="L81" s="172"/>
      <c r="M81" s="172"/>
      <c r="N81" s="394"/>
      <c r="O81" s="394"/>
      <c r="P81" s="115"/>
      <c r="Q81" s="115"/>
      <c r="R81" s="115"/>
      <c r="S81" s="115"/>
      <c r="T81" s="115"/>
      <c r="U81" s="32">
        <f t="shared" si="23"/>
        <v>12</v>
      </c>
      <c r="V81" s="45" t="s">
        <v>946</v>
      </c>
      <c r="W81" s="45">
        <v>65</v>
      </c>
      <c r="X81" s="45">
        <v>2</v>
      </c>
      <c r="Y81" s="32">
        <v>40</v>
      </c>
      <c r="Z81" s="490"/>
      <c r="AA81" s="490">
        <v>1</v>
      </c>
      <c r="AB81" s="35">
        <f t="shared" si="14"/>
        <v>1</v>
      </c>
      <c r="AC81" s="490">
        <f t="shared" si="15"/>
        <v>65</v>
      </c>
      <c r="AD81" s="35">
        <f t="shared" si="16"/>
        <v>32.5</v>
      </c>
      <c r="AE81" s="35">
        <f t="shared" si="17"/>
        <v>1</v>
      </c>
      <c r="AF81" s="32">
        <f>IF(SUM(AF$70:AF80)=0,AE81,0)*U81</f>
        <v>12</v>
      </c>
      <c r="AG81" s="32"/>
      <c r="AH81" s="32"/>
      <c r="AI81" s="32"/>
      <c r="AJ81" s="32"/>
      <c r="AK81" s="32"/>
      <c r="AM81" s="32"/>
      <c r="AN81" s="490"/>
      <c r="AO81" s="490"/>
      <c r="AP81" s="35"/>
      <c r="AQ81" s="490"/>
      <c r="AR81" s="35"/>
      <c r="AS81" s="35"/>
      <c r="AT81" s="32"/>
      <c r="AU81" s="32">
        <f t="shared" si="22"/>
        <v>26</v>
      </c>
      <c r="AV81" s="45" t="s">
        <v>946</v>
      </c>
      <c r="AW81" s="45">
        <v>65</v>
      </c>
      <c r="AX81" s="45">
        <v>2</v>
      </c>
      <c r="AY81" s="32">
        <v>40</v>
      </c>
      <c r="AZ81" s="490"/>
      <c r="BA81" s="490">
        <v>1</v>
      </c>
      <c r="BB81" s="491">
        <f t="shared" si="18"/>
        <v>1</v>
      </c>
      <c r="BC81" s="492">
        <f>MIN(BB81,$W$67)*AW81</f>
        <v>65</v>
      </c>
      <c r="BD81" s="491">
        <f t="shared" si="20"/>
        <v>32.5</v>
      </c>
      <c r="BE81" s="491">
        <f t="shared" si="21"/>
        <v>1</v>
      </c>
      <c r="BF81" s="31">
        <f>IF(SUM(BF$70:BF80)=0,BE81,0)*AU81</f>
        <v>26</v>
      </c>
      <c r="BG81" s="31"/>
      <c r="BH81" s="31"/>
    </row>
    <row r="82" spans="1:60" x14ac:dyDescent="0.2">
      <c r="A82" s="41"/>
      <c r="B82" s="41"/>
      <c r="C82" s="41"/>
      <c r="D82" s="41"/>
      <c r="E82" s="41"/>
      <c r="F82" s="41"/>
      <c r="G82" s="183"/>
      <c r="H82" s="183"/>
      <c r="I82" s="183"/>
      <c r="J82" s="183"/>
      <c r="K82" s="183"/>
      <c r="L82" s="172"/>
      <c r="M82" s="172"/>
      <c r="N82" s="394"/>
      <c r="O82" s="394"/>
      <c r="P82" s="115"/>
      <c r="Q82" s="115"/>
      <c r="R82" s="115"/>
      <c r="S82" s="115"/>
      <c r="T82" s="115"/>
      <c r="U82" s="32">
        <f t="shared" si="23"/>
        <v>13</v>
      </c>
      <c r="V82" s="32" t="s">
        <v>947</v>
      </c>
      <c r="W82" s="32">
        <v>90</v>
      </c>
      <c r="X82" s="45">
        <v>2</v>
      </c>
      <c r="Y82" s="32">
        <v>40</v>
      </c>
      <c r="Z82" s="35"/>
      <c r="AA82" s="35">
        <v>1</v>
      </c>
      <c r="AB82" s="35">
        <f t="shared" si="14"/>
        <v>1</v>
      </c>
      <c r="AC82" s="490">
        <f t="shared" si="15"/>
        <v>90</v>
      </c>
      <c r="AD82" s="35">
        <f t="shared" si="16"/>
        <v>45</v>
      </c>
      <c r="AE82" s="35">
        <f t="shared" si="17"/>
        <v>1</v>
      </c>
      <c r="AF82" s="32">
        <f>IF(SUM(AF$70:AF81)=0,AE82,0)*U82</f>
        <v>0</v>
      </c>
      <c r="AG82" s="32"/>
      <c r="AH82" s="32"/>
      <c r="AI82" s="32"/>
      <c r="AJ82" s="32"/>
      <c r="AK82" s="32"/>
      <c r="AL82" s="32"/>
      <c r="AM82" s="32"/>
      <c r="AN82" s="35"/>
      <c r="AO82" s="35"/>
      <c r="AP82" s="35"/>
      <c r="AQ82" s="490"/>
      <c r="AR82" s="35"/>
      <c r="AS82" s="35"/>
      <c r="AT82" s="32"/>
      <c r="AU82" s="32"/>
      <c r="AV82" s="32"/>
      <c r="AW82" s="32"/>
      <c r="AY82" s="32"/>
      <c r="AZ82" s="35"/>
      <c r="BA82" s="35"/>
      <c r="BB82" s="491"/>
      <c r="BC82" s="492"/>
      <c r="BD82" s="491"/>
      <c r="BE82" s="491"/>
      <c r="BF82" s="31"/>
      <c r="BG82" s="31"/>
      <c r="BH82" s="31"/>
    </row>
    <row r="83" spans="1:60" ht="18" x14ac:dyDescent="0.25">
      <c r="A83" s="41"/>
      <c r="B83" s="41"/>
      <c r="C83" s="41"/>
      <c r="D83" s="41"/>
      <c r="E83" s="41"/>
      <c r="F83" s="41"/>
      <c r="G83" s="191" t="str">
        <f>IF(D93="","",IF(GRAFICI!M10="No",IF(V218&gt;0,"",LINGUA!B22),IF(V255&gt;0,"",LINGUA!B22)))</f>
        <v/>
      </c>
      <c r="H83" s="183"/>
      <c r="I83" s="183"/>
      <c r="J83" s="183"/>
      <c r="K83" s="183"/>
      <c r="L83" s="172"/>
      <c r="M83" s="172"/>
      <c r="N83" s="394"/>
      <c r="O83" s="394"/>
      <c r="P83" s="115"/>
      <c r="Q83" s="115"/>
      <c r="R83" s="115"/>
      <c r="S83" s="115"/>
      <c r="T83" s="115"/>
      <c r="U83" s="32">
        <f t="shared" si="23"/>
        <v>14</v>
      </c>
      <c r="V83" s="32" t="s">
        <v>948</v>
      </c>
      <c r="W83" s="32">
        <v>130</v>
      </c>
      <c r="X83" s="32">
        <v>4</v>
      </c>
      <c r="Y83" s="32">
        <v>40</v>
      </c>
      <c r="Z83" s="35"/>
      <c r="AA83" s="35">
        <v>1</v>
      </c>
      <c r="AB83" s="35">
        <f t="shared" si="14"/>
        <v>1</v>
      </c>
      <c r="AC83" s="490">
        <f>MIN(AB83,$W$67)*W83</f>
        <v>130</v>
      </c>
      <c r="AD83" s="35">
        <f t="shared" si="16"/>
        <v>65</v>
      </c>
      <c r="AE83" s="35">
        <f t="shared" si="17"/>
        <v>0</v>
      </c>
      <c r="AF83" s="32">
        <f>IF(SUM(AF$70:AF82)=0,AE83,0)*U83</f>
        <v>0</v>
      </c>
      <c r="AU83" s="32"/>
      <c r="AV83" s="32"/>
      <c r="AW83" s="32"/>
      <c r="AX83" s="32"/>
      <c r="AY83" s="32"/>
      <c r="AZ83" s="35"/>
      <c r="BA83" s="35"/>
      <c r="BB83" s="491"/>
      <c r="BC83" s="492"/>
      <c r="BD83" s="491"/>
      <c r="BE83" s="491"/>
      <c r="BF83" s="31"/>
      <c r="BG83" s="31"/>
    </row>
    <row r="84" spans="1:60" ht="13.9" customHeight="1" x14ac:dyDescent="0.2">
      <c r="A84" s="41"/>
      <c r="B84" s="55" t="str">
        <f>LINGUA!B21</f>
        <v>Total water flow Gw</v>
      </c>
      <c r="C84" s="41"/>
      <c r="D84" s="41"/>
      <c r="E84" s="270">
        <f>IF(E40="",E78*AI46/1000,0)</f>
        <v>60.915771784495476</v>
      </c>
      <c r="F84" s="192" t="str">
        <f>LINGUA!K8</f>
        <v>kg/h</v>
      </c>
      <c r="G84" s="41"/>
      <c r="H84" s="41"/>
      <c r="I84" s="41"/>
      <c r="J84" s="193" t="str">
        <f>IF(E76&gt;GRAFICI!M11,"",LINGUA!B23)</f>
        <v/>
      </c>
      <c r="K84" s="183"/>
      <c r="L84" s="172"/>
      <c r="M84" s="172"/>
      <c r="N84" s="394"/>
      <c r="O84" s="394"/>
      <c r="P84" s="115"/>
      <c r="Q84" s="115"/>
      <c r="R84" s="115"/>
      <c r="S84" s="115"/>
      <c r="T84" s="115"/>
      <c r="AI84" s="45" t="s">
        <v>2105</v>
      </c>
      <c r="AK84" s="450">
        <f>SUM(AR70:AR80)</f>
        <v>37</v>
      </c>
    </row>
    <row r="85" spans="1:60" x14ac:dyDescent="0.2">
      <c r="A85" s="41"/>
      <c r="B85" s="41"/>
      <c r="C85" s="41"/>
      <c r="D85" s="41"/>
      <c r="E85" s="183"/>
      <c r="F85" s="183"/>
      <c r="G85" s="183"/>
      <c r="H85" s="41"/>
      <c r="I85" s="41"/>
      <c r="J85" s="183"/>
      <c r="K85" s="183"/>
      <c r="L85" s="172"/>
      <c r="M85" s="172"/>
      <c r="N85" s="394"/>
      <c r="O85" s="394"/>
      <c r="P85" s="115"/>
      <c r="Q85" s="115"/>
      <c r="R85" s="115"/>
      <c r="S85" s="115"/>
      <c r="T85" s="115"/>
      <c r="U85" s="45" t="s">
        <v>2105</v>
      </c>
      <c r="W85" s="450">
        <f>SUM(AF70:AF83)</f>
        <v>12</v>
      </c>
      <c r="AI85" s="45" t="s">
        <v>2106</v>
      </c>
      <c r="AK85" s="450" t="str">
        <f>IF(AK84=0,"",LOOKUP(AK84,AI70:AI80,AJ70:AJ80))</f>
        <v>UR080HL002</v>
      </c>
      <c r="AL85" s="450" t="str">
        <f>IF(AK84=0,"",IF(AK85="","",CONCATENATE(AK85,AL88,AL86,AL87)))</f>
        <v>UR080HL002010240</v>
      </c>
      <c r="AU85" s="45" t="s">
        <v>2105</v>
      </c>
      <c r="AW85" s="450">
        <f>SUM(BF70:BF81)</f>
        <v>26</v>
      </c>
    </row>
    <row r="86" spans="1:60" x14ac:dyDescent="0.2">
      <c r="A86" s="41"/>
      <c r="B86" s="55" t="str">
        <f>LINGUA!B52</f>
        <v>Number of humidifiers</v>
      </c>
      <c r="C86" s="41"/>
      <c r="D86" s="41"/>
      <c r="E86" s="185">
        <v>1</v>
      </c>
      <c r="F86" s="183" t="s">
        <v>2075</v>
      </c>
      <c r="G86" s="183"/>
      <c r="H86" s="41"/>
      <c r="I86" s="41"/>
      <c r="J86" s="183"/>
      <c r="K86" s="183"/>
      <c r="L86" s="172"/>
      <c r="M86" s="172"/>
      <c r="N86" s="394"/>
      <c r="O86" s="393"/>
      <c r="U86" s="45" t="s">
        <v>2106</v>
      </c>
      <c r="W86" s="450" t="str">
        <f>IF(W85=0,"",LOOKUP(W85,U70:U83,V70:V83))</f>
        <v>UE065</v>
      </c>
      <c r="AI86" s="45" t="s">
        <v>935</v>
      </c>
      <c r="AK86" s="450">
        <f>IF(AK84=0,"",LOOKUP(AK84,AI70:AI80,AL70:AL80))</f>
        <v>2</v>
      </c>
      <c r="AL86" s="450" t="str">
        <f>IF(LEN(AK86)=1,CONCATENATE("0",AK86),CONCATENATE(AK86))</f>
        <v>02</v>
      </c>
      <c r="AU86" s="45" t="s">
        <v>2106</v>
      </c>
      <c r="AW86" s="450" t="str">
        <f>IF(AW85=0,"",LOOKUP(AW85,AU70:AU81,AV70:AV81))</f>
        <v>UE065</v>
      </c>
    </row>
    <row r="87" spans="1:60" x14ac:dyDescent="0.2">
      <c r="A87" s="41"/>
      <c r="B87" s="41"/>
      <c r="C87" s="41"/>
      <c r="D87" s="41"/>
      <c r="E87" s="41"/>
      <c r="F87" s="41"/>
      <c r="G87" s="183"/>
      <c r="H87" s="183"/>
      <c r="I87" s="183"/>
      <c r="J87" s="183"/>
      <c r="K87" s="183"/>
      <c r="L87" s="172"/>
      <c r="M87" s="172"/>
      <c r="N87" s="394"/>
      <c r="O87" s="393"/>
      <c r="U87" s="45" t="s">
        <v>935</v>
      </c>
      <c r="W87" s="450">
        <f>IF(W85=0,"",LOOKUP(W85,U70:U83,X70:X83))</f>
        <v>2</v>
      </c>
      <c r="X87" s="450" t="str">
        <f>IF(LEN(W87)=1,CONCATENATE("0",W87),CONCATENATE(W87))</f>
        <v>02</v>
      </c>
      <c r="AI87" s="45" t="s">
        <v>2107</v>
      </c>
      <c r="AK87" s="450">
        <f>IF(AK84=0,"",LOOKUP(AK84,AI70:AI80,AM70:AM80))</f>
        <v>40</v>
      </c>
      <c r="AL87" s="450" t="str">
        <f>IF(LEN(AK87)=1,CONCATENATE("0",AK87),CONCATENATE(AK87))</f>
        <v>40</v>
      </c>
      <c r="AU87" s="45" t="s">
        <v>935</v>
      </c>
      <c r="AW87" s="450">
        <f>IF(AW85=0,"",LOOKUP(AW85,AU70:AU81,AX70:AX81))</f>
        <v>2</v>
      </c>
      <c r="AX87" s="450" t="str">
        <f>IF(LEN(AW87)=1,CONCATENATE("0",AW87),CONCATENATE(AW87))</f>
        <v>02</v>
      </c>
    </row>
    <row r="88" spans="1:60" x14ac:dyDescent="0.2">
      <c r="A88" s="41"/>
      <c r="B88" s="41"/>
      <c r="C88" s="41"/>
      <c r="D88" s="41"/>
      <c r="E88" s="41"/>
      <c r="F88" s="41"/>
      <c r="G88" s="183"/>
      <c r="H88" s="183"/>
      <c r="I88" s="183"/>
      <c r="J88" s="183"/>
      <c r="K88" s="183"/>
      <c r="L88" s="172"/>
      <c r="M88" s="172"/>
      <c r="N88" s="394"/>
      <c r="O88" s="393"/>
      <c r="U88" s="45" t="s">
        <v>2107</v>
      </c>
      <c r="W88" s="450">
        <f>IF(W85=0,"",LOOKUP(W85,U70:U83,Y70:Y83))</f>
        <v>40</v>
      </c>
      <c r="X88" s="450" t="str">
        <f>IF(LEN(W88)=1,CONCATENATE("0",W88),CONCATENATE(W88))</f>
        <v>40</v>
      </c>
      <c r="AI88" s="45" t="s">
        <v>2110</v>
      </c>
      <c r="AK88" s="450">
        <f>IF(AK84=0,"",LOOKUP(AK84,AI70:AI80,AN70:AN80))</f>
        <v>1</v>
      </c>
      <c r="AL88" s="450" t="str">
        <f>IF(LEN(AK88)=1,CONCATENATE("0",AK88),CONCATENATE(AK88))</f>
        <v>01</v>
      </c>
      <c r="AU88" s="45" t="s">
        <v>2107</v>
      </c>
      <c r="AW88" s="450">
        <f>IF(AW85=0,"",LOOKUP(AW85,AU70:AU81,AY70:AY81))</f>
        <v>40</v>
      </c>
      <c r="AX88" s="450" t="str">
        <f>IF(LEN(AW88)=1,CONCATENATE("0",AW88),CONCATENATE(AW88))</f>
        <v>40</v>
      </c>
    </row>
    <row r="89" spans="1:60" ht="27" x14ac:dyDescent="0.2">
      <c r="A89" s="41"/>
      <c r="B89" s="130" t="str">
        <f>LINGUA!B55</f>
        <v>STEP 3</v>
      </c>
      <c r="C89" s="41"/>
      <c r="D89" s="41"/>
      <c r="E89" s="41"/>
      <c r="F89" s="41"/>
      <c r="G89" s="183"/>
      <c r="H89" s="183"/>
      <c r="I89" s="183"/>
      <c r="J89" s="183"/>
      <c r="K89" s="183"/>
      <c r="L89" s="172"/>
      <c r="M89" s="172"/>
      <c r="N89" s="394"/>
      <c r="O89" s="393"/>
      <c r="U89" s="45" t="s">
        <v>2108</v>
      </c>
      <c r="W89" s="450">
        <f>IF(W85=0,"",LOOKUP(W85,U70:U83,Z70:Z83))</f>
        <v>0</v>
      </c>
      <c r="AI89" s="32"/>
      <c r="AJ89" s="32"/>
      <c r="AK89" s="32"/>
      <c r="AU89" s="45" t="s">
        <v>2108</v>
      </c>
      <c r="AW89" s="450">
        <f>IF(AW85=0,"",LOOKUP(AW85,AU70:AU81,AZ70:AZ81))</f>
        <v>0</v>
      </c>
    </row>
    <row r="90" spans="1:60" x14ac:dyDescent="0.2">
      <c r="A90" s="41"/>
      <c r="B90" s="41"/>
      <c r="C90" s="41"/>
      <c r="D90" s="41"/>
      <c r="E90" s="41"/>
      <c r="F90" s="41"/>
      <c r="G90" s="183"/>
      <c r="H90" s="183"/>
      <c r="I90" s="183"/>
      <c r="J90" s="183"/>
      <c r="K90" s="183"/>
      <c r="L90" s="172"/>
      <c r="M90" s="172"/>
      <c r="N90" s="394"/>
      <c r="O90" s="393"/>
      <c r="U90" s="45" t="s">
        <v>2109</v>
      </c>
      <c r="W90" s="450">
        <f>IF(W85=0,"",LOOKUP(W85,U70:U82,AA70:AA82))</f>
        <v>1</v>
      </c>
      <c r="AU90" s="45" t="s">
        <v>2109</v>
      </c>
      <c r="AW90" s="450">
        <f>IF(AW85=0,"",LOOKUP(AW85,AU70:AU82,BA70:BA82))</f>
        <v>1</v>
      </c>
    </row>
    <row r="91" spans="1:60" x14ac:dyDescent="0.2">
      <c r="A91" s="41"/>
      <c r="B91" s="41"/>
      <c r="C91" s="41"/>
      <c r="D91" s="55" t="str">
        <f>LINGUA!C50</f>
        <v>Choice of the humidifier</v>
      </c>
      <c r="E91" s="41"/>
      <c r="F91" s="41"/>
      <c r="G91" s="41"/>
      <c r="H91" s="183"/>
      <c r="I91" s="183"/>
      <c r="J91" s="183"/>
      <c r="K91" s="183"/>
      <c r="L91" s="136"/>
      <c r="M91" s="136"/>
      <c r="N91" s="393"/>
      <c r="O91" s="393"/>
      <c r="U91" s="45" t="s">
        <v>2110</v>
      </c>
      <c r="W91" s="450">
        <f>IF(W85=0,"",LOOKUP(W85,U70:U83,AB70:AB83))</f>
        <v>1</v>
      </c>
      <c r="X91" s="450" t="str">
        <f>IF(LEN(W91)=1,CONCATENATE("0",W91),CONCATENATE(W91))</f>
        <v>01</v>
      </c>
      <c r="AH91" s="32"/>
      <c r="AI91" s="32"/>
      <c r="AJ91" s="32"/>
      <c r="AK91" s="32"/>
      <c r="AU91" s="45" t="s">
        <v>2110</v>
      </c>
      <c r="AW91" s="450">
        <f>IF(AW85=0,"",LOOKUP(AW85,AU70:AU81,BB70:BB81))</f>
        <v>1</v>
      </c>
      <c r="AX91" s="450" t="str">
        <f>IF(LEN(AW91)=1,CONCATENATE("0",AW91),CONCATENATE(AW91))</f>
        <v>01</v>
      </c>
    </row>
    <row r="92" spans="1:60" x14ac:dyDescent="0.2">
      <c r="A92" s="41"/>
      <c r="B92" s="41"/>
      <c r="C92" s="41"/>
      <c r="D92" s="41"/>
      <c r="E92" s="41"/>
      <c r="F92" s="41"/>
      <c r="G92" s="41"/>
      <c r="H92" s="41"/>
      <c r="I92" s="41"/>
      <c r="J92" s="41"/>
      <c r="K92" s="313"/>
      <c r="L92" s="136"/>
      <c r="M92" s="136"/>
      <c r="N92" s="393"/>
      <c r="O92" s="393"/>
      <c r="AH92" s="32"/>
      <c r="AI92" s="32"/>
      <c r="AJ92" s="32"/>
      <c r="AK92" s="32"/>
    </row>
    <row r="93" spans="1:60" x14ac:dyDescent="0.2">
      <c r="A93" s="41"/>
      <c r="B93" s="41"/>
      <c r="C93" s="41"/>
      <c r="D93" s="696" t="s">
        <v>3005</v>
      </c>
      <c r="E93" s="697"/>
      <c r="F93" s="313" t="str">
        <f>MID(D93,1,2)</f>
        <v>UR</v>
      </c>
      <c r="G93" s="714" t="str">
        <f>VLOOKUP(D93,AI134:AK181,3,0)</f>
        <v>heaterSteam humidifier 80 kg/h</v>
      </c>
      <c r="H93" s="715"/>
      <c r="I93" s="715"/>
      <c r="J93" s="716"/>
      <c r="K93" s="313" t="s">
        <v>609</v>
      </c>
      <c r="L93" s="136"/>
      <c r="M93" s="136"/>
      <c r="N93" s="393"/>
      <c r="O93" s="393"/>
      <c r="U93" s="45" t="s">
        <v>2079</v>
      </c>
      <c r="AH93" s="32"/>
      <c r="AI93" s="32"/>
      <c r="AJ93" s="32"/>
      <c r="AK93" s="32"/>
      <c r="AU93" s="45" t="s">
        <v>2078</v>
      </c>
    </row>
    <row r="94" spans="1:60" x14ac:dyDescent="0.2">
      <c r="A94" s="41"/>
      <c r="B94" s="41"/>
      <c r="C94" s="41"/>
      <c r="D94" s="41"/>
      <c r="E94" s="41"/>
      <c r="F94" s="41"/>
      <c r="G94" s="717"/>
      <c r="H94" s="718"/>
      <c r="I94" s="718"/>
      <c r="J94" s="719"/>
      <c r="K94" s="313" t="s">
        <v>2769</v>
      </c>
      <c r="L94" s="136"/>
      <c r="M94" s="136"/>
      <c r="N94" s="393"/>
      <c r="O94" s="393"/>
      <c r="U94" s="45" t="s">
        <v>2111</v>
      </c>
      <c r="W94" s="450" t="str">
        <f>IF(W89=0,"",CONCATENATE(W86,"XD000"))</f>
        <v/>
      </c>
      <c r="X94" s="450" t="str">
        <f>IF(W85=0,"",IF(W94="","",CONCATENATE(W94,X91,X87,X88)))</f>
        <v/>
      </c>
      <c r="AH94" s="32"/>
      <c r="AI94" s="32"/>
      <c r="AJ94" s="32"/>
      <c r="AK94" s="32"/>
      <c r="AU94" s="45" t="s">
        <v>2111</v>
      </c>
      <c r="AW94" s="450" t="str">
        <f>IF(AW89=0,"",CONCATENATE(AW86,"YD000"))</f>
        <v/>
      </c>
      <c r="AX94" s="450" t="str">
        <f>IF(AW85=0,"",IF(AW94="","",CONCATENATE(AW94,AX91,AX87,AX88)))</f>
        <v/>
      </c>
    </row>
    <row r="95" spans="1:60" x14ac:dyDescent="0.2">
      <c r="A95" s="41"/>
      <c r="B95" s="41"/>
      <c r="C95" s="41"/>
      <c r="D95" s="41"/>
      <c r="E95" s="41"/>
      <c r="F95" s="41"/>
      <c r="G95" s="633">
        <f>VALUE(MID($D$93,3,3))</f>
        <v>80</v>
      </c>
      <c r="H95" s="41"/>
      <c r="I95" s="41"/>
      <c r="J95" s="41"/>
      <c r="K95" s="313" t="s">
        <v>610</v>
      </c>
      <c r="L95" s="136"/>
      <c r="M95" s="136"/>
      <c r="N95" s="393"/>
      <c r="O95" s="393"/>
      <c r="U95" s="45" t="s">
        <v>2112</v>
      </c>
      <c r="W95" s="450" t="str">
        <f>IF(W94="",IF(W90=0,"",CONCATENATE(W86,"XL000")),"")</f>
        <v>UE065XL000</v>
      </c>
      <c r="X95" s="450" t="str">
        <f>IF(W85=0,"",IF(W95="","",CONCATENATE(W95,X91,X87,X88)))</f>
        <v>UE065XL000010240</v>
      </c>
      <c r="AH95" s="32"/>
      <c r="AI95" s="32"/>
      <c r="AJ95" s="32"/>
      <c r="AK95" s="32"/>
      <c r="AL95" s="32"/>
      <c r="AM95" s="32"/>
      <c r="AN95" s="32"/>
      <c r="AO95" s="32"/>
      <c r="AP95" s="32"/>
      <c r="AQ95" s="32"/>
      <c r="AR95" s="32"/>
      <c r="AS95" s="32"/>
      <c r="AU95" s="45" t="s">
        <v>2112</v>
      </c>
      <c r="AW95" s="450" t="str">
        <f>IF(AW94="",IF(AW90=0,"",CONCATENATE(AW86,"YL000")),"")</f>
        <v>UE065YL000</v>
      </c>
      <c r="AX95" s="450" t="str">
        <f>IF(AW85=0,"",IF(AW95="","",CONCATENATE(AW95,AX91,AX87,AX88)))</f>
        <v>UE065YL000010240</v>
      </c>
    </row>
    <row r="96" spans="1:60" ht="15.6" customHeight="1" x14ac:dyDescent="0.2">
      <c r="A96" s="41"/>
      <c r="B96" s="41"/>
      <c r="C96" s="41"/>
      <c r="D96" s="55" t="str">
        <f>LINGUA!C73</f>
        <v>Voltage specification</v>
      </c>
      <c r="E96" s="41"/>
      <c r="F96" s="41"/>
      <c r="G96" s="640" t="str">
        <f>IF($E$84&gt;$G$95,LINGUA!$B$75,"")</f>
        <v/>
      </c>
      <c r="H96" s="639"/>
      <c r="I96" s="639"/>
      <c r="J96" s="639"/>
      <c r="K96" s="41"/>
      <c r="L96" s="136"/>
      <c r="M96" s="136"/>
      <c r="N96" s="393"/>
      <c r="O96" s="393"/>
      <c r="AK96" s="32"/>
      <c r="AL96" s="32"/>
      <c r="AM96" s="32"/>
      <c r="AN96" s="32"/>
      <c r="AO96" s="32"/>
      <c r="AP96" s="32"/>
      <c r="AQ96" s="32"/>
      <c r="AR96" s="32"/>
      <c r="AS96" s="32"/>
    </row>
    <row r="97" spans="1:45" ht="13.15" customHeight="1" x14ac:dyDescent="0.2">
      <c r="A97" s="41"/>
      <c r="B97" s="41"/>
      <c r="C97" s="41"/>
      <c r="D97" s="41"/>
      <c r="E97" s="41"/>
      <c r="F97" s="41"/>
      <c r="G97" s="639"/>
      <c r="H97" s="639"/>
      <c r="I97" s="639"/>
      <c r="J97" s="639"/>
      <c r="K97" s="41"/>
      <c r="L97" s="136"/>
      <c r="M97" s="136"/>
      <c r="N97" s="393"/>
      <c r="O97" s="393"/>
      <c r="AG97" s="32"/>
      <c r="AH97" s="32"/>
      <c r="AI97" s="532" t="s">
        <v>1818</v>
      </c>
      <c r="AJ97" s="533"/>
      <c r="AK97" s="534"/>
      <c r="AL97" s="534"/>
      <c r="AM97" s="534"/>
      <c r="AN97" s="533"/>
      <c r="AO97" s="535"/>
      <c r="AP97" s="535"/>
      <c r="AQ97" s="535"/>
      <c r="AR97" s="535"/>
      <c r="AS97" s="32"/>
    </row>
    <row r="98" spans="1:45" ht="13.5" x14ac:dyDescent="0.25">
      <c r="A98" s="41"/>
      <c r="B98" s="41"/>
      <c r="C98" s="41"/>
      <c r="D98" s="698" t="s">
        <v>3534</v>
      </c>
      <c r="E98" s="699"/>
      <c r="F98" s="133"/>
      <c r="G98" s="684" t="str">
        <f>IF(DESIGN!AX133=1,"",LINGUA!C65)</f>
        <v/>
      </c>
      <c r="H98" s="684"/>
      <c r="I98" s="684"/>
      <c r="J98" s="684"/>
      <c r="K98" s="41"/>
      <c r="L98" s="136"/>
      <c r="M98" s="136"/>
      <c r="N98" s="393"/>
      <c r="O98" s="393"/>
      <c r="U98" s="485" t="s">
        <v>2113</v>
      </c>
      <c r="V98" s="486"/>
      <c r="Z98" s="486"/>
      <c r="AA98" s="32"/>
      <c r="AB98" s="32"/>
      <c r="AC98" s="32"/>
      <c r="AD98" s="32"/>
      <c r="AE98" s="32"/>
      <c r="AF98" s="32"/>
      <c r="AG98" s="32"/>
      <c r="AH98" s="32"/>
      <c r="AI98" s="535"/>
      <c r="AJ98" s="535"/>
      <c r="AK98" s="535"/>
      <c r="AL98" s="535"/>
      <c r="AM98" s="535"/>
      <c r="AN98" s="535"/>
      <c r="AO98" s="535"/>
      <c r="AP98" s="535"/>
      <c r="AQ98" s="535"/>
      <c r="AR98" s="535"/>
      <c r="AS98" s="32"/>
    </row>
    <row r="99" spans="1:45" ht="28.9" customHeight="1" x14ac:dyDescent="0.25">
      <c r="A99" s="41"/>
      <c r="B99" s="41"/>
      <c r="C99" s="41"/>
      <c r="D99" s="41"/>
      <c r="E99" s="41"/>
      <c r="F99" s="133"/>
      <c r="G99" s="684"/>
      <c r="H99" s="684"/>
      <c r="I99" s="684"/>
      <c r="J99" s="684"/>
      <c r="K99" s="41"/>
      <c r="L99" s="136"/>
      <c r="M99" s="136"/>
      <c r="N99" s="393"/>
      <c r="O99" s="393"/>
      <c r="U99" s="32"/>
      <c r="V99" s="470"/>
      <c r="W99" s="32"/>
      <c r="X99" s="32"/>
      <c r="Y99" s="470"/>
      <c r="Z99" s="470"/>
      <c r="AA99" s="470"/>
      <c r="AB99" s="470"/>
      <c r="AC99" s="470"/>
      <c r="AD99" s="32"/>
      <c r="AE99" s="464"/>
      <c r="AF99" s="32"/>
      <c r="AI99" s="535" t="s">
        <v>2098</v>
      </c>
      <c r="AJ99" s="535"/>
      <c r="AK99" s="536">
        <f>W66</f>
        <v>0.5</v>
      </c>
      <c r="AL99" s="534"/>
      <c r="AM99" s="534"/>
      <c r="AN99" s="534"/>
      <c r="AO99" s="534"/>
      <c r="AP99" s="535"/>
      <c r="AQ99" s="534"/>
      <c r="AR99" s="535"/>
      <c r="AS99" s="32"/>
    </row>
    <row r="100" spans="1:45" ht="12" customHeight="1" x14ac:dyDescent="0.25">
      <c r="A100" s="41"/>
      <c r="B100" s="41"/>
      <c r="C100" s="41"/>
      <c r="D100" s="41"/>
      <c r="E100" s="41"/>
      <c r="F100" s="133"/>
      <c r="G100" s="41"/>
      <c r="H100" s="41"/>
      <c r="I100" s="41"/>
      <c r="J100" s="41"/>
      <c r="K100" s="41"/>
      <c r="L100" s="136"/>
      <c r="M100" s="136"/>
      <c r="N100" s="393"/>
      <c r="O100" s="393"/>
      <c r="U100" s="32" t="s">
        <v>2098</v>
      </c>
      <c r="V100" s="32"/>
      <c r="W100" s="488">
        <f>W66</f>
        <v>0.5</v>
      </c>
      <c r="AB100" s="32"/>
      <c r="AD100" s="32"/>
      <c r="AE100" s="32"/>
      <c r="AF100" s="32"/>
      <c r="AI100" s="534" t="s">
        <v>2100</v>
      </c>
      <c r="AJ100" s="534"/>
      <c r="AK100" s="537">
        <f>W67</f>
        <v>1</v>
      </c>
      <c r="AL100" s="534"/>
      <c r="AM100" s="534"/>
      <c r="AN100" s="534"/>
      <c r="AO100" s="534"/>
      <c r="AP100" s="535"/>
      <c r="AQ100" s="534"/>
      <c r="AR100" s="535"/>
      <c r="AS100" s="32"/>
    </row>
    <row r="101" spans="1:45" ht="12" customHeight="1" x14ac:dyDescent="0.2">
      <c r="A101" s="41"/>
      <c r="B101" s="41"/>
      <c r="C101" s="133"/>
      <c r="D101" s="55" t="str">
        <f>LINGUA!C74</f>
        <v>Options specification</v>
      </c>
      <c r="E101" s="41"/>
      <c r="F101" s="41"/>
      <c r="G101" s="41"/>
      <c r="H101" s="41"/>
      <c r="I101" s="41"/>
      <c r="J101" s="41"/>
      <c r="K101" s="41"/>
      <c r="L101" s="136"/>
      <c r="M101" s="136"/>
      <c r="N101" s="393"/>
      <c r="O101" s="393"/>
      <c r="U101" s="45" t="s">
        <v>2100</v>
      </c>
      <c r="W101" s="450">
        <f>W67</f>
        <v>1</v>
      </c>
      <c r="AB101" s="32"/>
      <c r="AD101" s="32"/>
      <c r="AE101" s="32"/>
      <c r="AF101" s="32"/>
      <c r="AI101" s="534"/>
      <c r="AJ101" s="534"/>
      <c r="AK101" s="534"/>
      <c r="AL101" s="534"/>
      <c r="AM101" s="534"/>
      <c r="AN101" s="534"/>
      <c r="AO101" s="534"/>
      <c r="AP101" s="535"/>
      <c r="AQ101" s="534"/>
      <c r="AR101" s="535"/>
      <c r="AS101" s="32"/>
    </row>
    <row r="102" spans="1:45" x14ac:dyDescent="0.2">
      <c r="A102" s="41"/>
      <c r="B102" s="41"/>
      <c r="C102" s="41"/>
      <c r="D102" s="41"/>
      <c r="E102" s="41"/>
      <c r="F102" s="41"/>
      <c r="G102" s="41"/>
      <c r="H102" s="41"/>
      <c r="I102" s="41"/>
      <c r="J102" s="41"/>
      <c r="K102" s="41"/>
      <c r="L102" s="136"/>
      <c r="M102" s="136"/>
      <c r="N102" s="393"/>
      <c r="O102" s="393"/>
      <c r="AB102" s="32"/>
      <c r="AD102" s="32"/>
      <c r="AE102" s="32"/>
      <c r="AF102" s="32"/>
      <c r="AI102" s="537" t="s">
        <v>958</v>
      </c>
      <c r="AJ102" s="537" t="s">
        <v>934</v>
      </c>
      <c r="AK102" s="537" t="s">
        <v>2101</v>
      </c>
      <c r="AL102" s="537" t="s">
        <v>935</v>
      </c>
      <c r="AM102" s="537" t="s">
        <v>846</v>
      </c>
      <c r="AN102" s="537" t="s">
        <v>2099</v>
      </c>
      <c r="AO102" s="537" t="s">
        <v>2102</v>
      </c>
      <c r="AP102" s="537" t="s">
        <v>2097</v>
      </c>
      <c r="AQ102" s="537" t="s">
        <v>2103</v>
      </c>
      <c r="AR102" s="537" t="s">
        <v>2104</v>
      </c>
      <c r="AS102" s="32"/>
    </row>
    <row r="103" spans="1:45" ht="40.9" customHeight="1" x14ac:dyDescent="0.2">
      <c r="A103" s="41"/>
      <c r="B103" s="41"/>
      <c r="C103" s="41"/>
      <c r="D103" s="682" t="s">
        <v>3236</v>
      </c>
      <c r="E103" s="683"/>
      <c r="F103" s="133"/>
      <c r="G103" s="684" t="str">
        <f>IF(DESIGN!BI133=1,"",LINGUA!C66)</f>
        <v/>
      </c>
      <c r="H103" s="684"/>
      <c r="I103" s="684"/>
      <c r="J103" s="684"/>
      <c r="K103" s="41"/>
      <c r="L103" s="136"/>
      <c r="M103" s="136"/>
      <c r="N103" s="393"/>
      <c r="O103" s="393"/>
      <c r="U103" s="450" t="s">
        <v>958</v>
      </c>
      <c r="V103" s="450" t="s">
        <v>934</v>
      </c>
      <c r="W103" s="450" t="s">
        <v>2101</v>
      </c>
      <c r="X103" s="450" t="s">
        <v>935</v>
      </c>
      <c r="Y103" s="450" t="s">
        <v>846</v>
      </c>
      <c r="Z103" s="450" t="s">
        <v>2099</v>
      </c>
      <c r="AA103" s="450" t="s">
        <v>2102</v>
      </c>
      <c r="AB103" s="450" t="s">
        <v>2097</v>
      </c>
      <c r="AC103" s="450" t="s">
        <v>2103</v>
      </c>
      <c r="AD103" s="450" t="s">
        <v>2104</v>
      </c>
      <c r="AI103" s="535">
        <v>38</v>
      </c>
      <c r="AJ103" s="535" t="s">
        <v>850</v>
      </c>
      <c r="AK103" s="535">
        <v>2</v>
      </c>
      <c r="AL103" s="534">
        <v>1</v>
      </c>
      <c r="AM103" s="535">
        <v>30</v>
      </c>
      <c r="AN103" s="538">
        <f t="shared" ref="AN103:AN110" si="29">CEILING($E$84/AK103,1)</f>
        <v>31</v>
      </c>
      <c r="AO103" s="539">
        <f>MIN(AN103,$AK$100)*AK103</f>
        <v>2</v>
      </c>
      <c r="AP103" s="538">
        <f>AO103*$AK$99</f>
        <v>1</v>
      </c>
      <c r="AQ103" s="538">
        <f t="shared" ref="AQ103:AQ110" si="30">IF(OR(AO103=$E$84,AO103&gt;$E$84),IF(OR(AP103=$E$84,AP103&lt;$E$84),1,0),0)</f>
        <v>0</v>
      </c>
      <c r="AR103" s="535">
        <f>AQ103*AI103</f>
        <v>0</v>
      </c>
      <c r="AS103" s="32"/>
    </row>
    <row r="104" spans="1:45" x14ac:dyDescent="0.2">
      <c r="A104" s="41"/>
      <c r="B104" s="41"/>
      <c r="C104" s="41"/>
      <c r="D104" s="41"/>
      <c r="E104" s="41"/>
      <c r="F104" s="133"/>
      <c r="G104" s="684"/>
      <c r="H104" s="684"/>
      <c r="I104" s="684"/>
      <c r="J104" s="684"/>
      <c r="K104" s="41"/>
      <c r="L104" s="136"/>
      <c r="M104" s="136"/>
      <c r="N104" s="393"/>
      <c r="O104" s="393"/>
      <c r="U104" s="32">
        <v>46</v>
      </c>
      <c r="V104" s="32" t="s">
        <v>2728</v>
      </c>
      <c r="W104" s="32">
        <v>45</v>
      </c>
      <c r="X104" s="45">
        <v>2</v>
      </c>
      <c r="Y104" s="32">
        <v>40</v>
      </c>
      <c r="Z104" s="35">
        <f>CEILING($E$84/W104,1)</f>
        <v>2</v>
      </c>
      <c r="AA104" s="490">
        <f>MIN(Z104,$W$101)*W104</f>
        <v>45</v>
      </c>
      <c r="AB104" s="35">
        <f>AA104*$W$100</f>
        <v>22.5</v>
      </c>
      <c r="AC104" s="35">
        <f>IF(OR(AA104=$E$84,AA104&gt;$E$84),IF(OR(AB104=$E$84,AB104&lt;$E$84),1,0),0)</f>
        <v>0</v>
      </c>
      <c r="AD104" s="32">
        <f>AC104*U104</f>
        <v>0</v>
      </c>
      <c r="AI104" s="535">
        <f>AI103+1</f>
        <v>39</v>
      </c>
      <c r="AJ104" s="535" t="s">
        <v>851</v>
      </c>
      <c r="AK104" s="535">
        <v>4</v>
      </c>
      <c r="AL104" s="534">
        <v>1</v>
      </c>
      <c r="AM104" s="535">
        <v>30</v>
      </c>
      <c r="AN104" s="538">
        <f t="shared" si="29"/>
        <v>16</v>
      </c>
      <c r="AO104" s="539">
        <f t="shared" ref="AO104:AO110" si="31">MIN(AN104,$AK$100)*AK104</f>
        <v>4</v>
      </c>
      <c r="AP104" s="538">
        <f t="shared" ref="AP104:AP110" si="32">AO104*$AK$99</f>
        <v>2</v>
      </c>
      <c r="AQ104" s="538">
        <f t="shared" si="30"/>
        <v>0</v>
      </c>
      <c r="AR104" s="535">
        <f>IF(SUM(AR$103:AR103)=0,AQ104,0)*AI104</f>
        <v>0</v>
      </c>
      <c r="AS104" s="32"/>
    </row>
    <row r="105" spans="1:45" ht="10.15" customHeight="1" x14ac:dyDescent="0.2">
      <c r="A105" s="41"/>
      <c r="B105" s="41"/>
      <c r="C105" s="41"/>
      <c r="D105" s="41"/>
      <c r="E105" s="41"/>
      <c r="F105" s="133"/>
      <c r="G105" s="41"/>
      <c r="H105" s="41"/>
      <c r="I105" s="41"/>
      <c r="J105" s="41"/>
      <c r="K105" s="41"/>
      <c r="L105" s="136"/>
      <c r="M105" s="136"/>
      <c r="N105" s="393"/>
      <c r="O105" s="393"/>
      <c r="U105" s="32">
        <f>U104+1</f>
        <v>47</v>
      </c>
      <c r="V105" s="32" t="s">
        <v>2729</v>
      </c>
      <c r="W105" s="32">
        <v>90</v>
      </c>
      <c r="X105" s="45">
        <v>2</v>
      </c>
      <c r="Y105" s="32">
        <v>40</v>
      </c>
      <c r="Z105" s="35">
        <f>CEILING($E$84/W105,1)</f>
        <v>1</v>
      </c>
      <c r="AA105" s="490">
        <f>MIN(Z105,$W$101)*W105</f>
        <v>90</v>
      </c>
      <c r="AB105" s="35">
        <f>AA105*$W$100</f>
        <v>45</v>
      </c>
      <c r="AC105" s="35">
        <f>IF(OR(AA105=$E$84,AA105&gt;$E$84),IF(OR(AB105=$E$84,AB105&lt;$E$84),1,0),0)</f>
        <v>1</v>
      </c>
      <c r="AD105" s="32">
        <f>IF(SUM(AD$104:AD104)=0,AC105,0)*U105</f>
        <v>47</v>
      </c>
      <c r="AI105" s="535">
        <f t="shared" ref="AI105:AI110" si="33">AI104+1</f>
        <v>40</v>
      </c>
      <c r="AJ105" s="535" t="s">
        <v>852</v>
      </c>
      <c r="AK105" s="535">
        <v>6</v>
      </c>
      <c r="AL105" s="534">
        <v>1</v>
      </c>
      <c r="AM105" s="535">
        <v>30</v>
      </c>
      <c r="AN105" s="538">
        <f t="shared" si="29"/>
        <v>11</v>
      </c>
      <c r="AO105" s="539">
        <f t="shared" si="31"/>
        <v>6</v>
      </c>
      <c r="AP105" s="538">
        <f t="shared" si="32"/>
        <v>3</v>
      </c>
      <c r="AQ105" s="538">
        <f t="shared" si="30"/>
        <v>0</v>
      </c>
      <c r="AR105" s="535">
        <f>IF(SUM(AR$103:AR104)=0,AQ105,0)*AI105</f>
        <v>0</v>
      </c>
      <c r="AS105" s="32"/>
    </row>
    <row r="106" spans="1:45" ht="12" customHeight="1" x14ac:dyDescent="0.2">
      <c r="A106" s="41"/>
      <c r="B106" s="41"/>
      <c r="C106" s="41"/>
      <c r="D106" s="41"/>
      <c r="E106" s="41"/>
      <c r="F106" s="133"/>
      <c r="G106" s="133"/>
      <c r="H106" s="133"/>
      <c r="I106" s="41"/>
      <c r="J106" s="41"/>
      <c r="K106" s="41"/>
      <c r="L106" s="136"/>
      <c r="M106" s="136"/>
      <c r="N106" s="393"/>
      <c r="O106" s="393"/>
      <c r="U106" s="32">
        <f>U105+1</f>
        <v>48</v>
      </c>
      <c r="V106" s="45" t="s">
        <v>2730</v>
      </c>
      <c r="W106" s="45">
        <v>180</v>
      </c>
      <c r="X106" s="45">
        <v>4</v>
      </c>
      <c r="Y106" s="45">
        <v>40</v>
      </c>
      <c r="Z106" s="35">
        <f>CEILING($E$84/W106,1)</f>
        <v>1</v>
      </c>
      <c r="AA106" s="490">
        <f>MIN(Z106,$W$101)*W106</f>
        <v>180</v>
      </c>
      <c r="AB106" s="35">
        <f>AA106*$W$100</f>
        <v>90</v>
      </c>
      <c r="AC106" s="35">
        <f>IF(OR(AA106=$E$84,AA106&gt;$E$84),IF(OR(AB106=$E$84,AB106&lt;$E$84),1,0),0)</f>
        <v>0</v>
      </c>
      <c r="AD106" s="32">
        <f>IF(SUM(AD$104:AD105)=0,AC106,0)*U106</f>
        <v>0</v>
      </c>
      <c r="AE106" s="32"/>
      <c r="AI106" s="535">
        <f t="shared" si="33"/>
        <v>41</v>
      </c>
      <c r="AJ106" s="535" t="s">
        <v>853</v>
      </c>
      <c r="AK106" s="535">
        <v>10</v>
      </c>
      <c r="AL106" s="534">
        <v>1</v>
      </c>
      <c r="AM106" s="535">
        <v>30</v>
      </c>
      <c r="AN106" s="538">
        <f t="shared" si="29"/>
        <v>7</v>
      </c>
      <c r="AO106" s="539">
        <f t="shared" si="31"/>
        <v>10</v>
      </c>
      <c r="AP106" s="538">
        <f t="shared" si="32"/>
        <v>5</v>
      </c>
      <c r="AQ106" s="538">
        <f t="shared" si="30"/>
        <v>0</v>
      </c>
      <c r="AR106" s="535">
        <f>IF(SUM(AR$103:AR105)=0,AQ106,0)*AI106</f>
        <v>0</v>
      </c>
      <c r="AS106" s="32"/>
    </row>
    <row r="107" spans="1:45" x14ac:dyDescent="0.2">
      <c r="A107" s="41"/>
      <c r="B107" s="41"/>
      <c r="C107" s="41"/>
      <c r="D107" s="41"/>
      <c r="E107" s="41"/>
      <c r="F107" s="41"/>
      <c r="G107" s="41"/>
      <c r="H107" s="41"/>
      <c r="I107" s="173"/>
      <c r="J107" s="41"/>
      <c r="K107" s="41"/>
      <c r="L107" s="136"/>
      <c r="M107" s="136"/>
      <c r="N107" s="393"/>
      <c r="O107" s="393"/>
      <c r="U107" s="32"/>
      <c r="V107" s="32"/>
      <c r="W107" s="32"/>
      <c r="X107" s="32"/>
      <c r="Y107" s="32"/>
      <c r="Z107" s="32"/>
      <c r="AA107" s="32"/>
      <c r="AB107" s="32"/>
      <c r="AC107" s="32"/>
      <c r="AD107" s="493"/>
      <c r="AE107" s="32"/>
      <c r="AG107" s="32"/>
      <c r="AH107" s="32"/>
      <c r="AI107" s="535">
        <f t="shared" si="33"/>
        <v>42</v>
      </c>
      <c r="AJ107" s="534" t="s">
        <v>855</v>
      </c>
      <c r="AK107" s="534">
        <v>20</v>
      </c>
      <c r="AL107" s="534">
        <v>1</v>
      </c>
      <c r="AM107" s="534">
        <v>40</v>
      </c>
      <c r="AN107" s="539">
        <f t="shared" si="29"/>
        <v>4</v>
      </c>
      <c r="AO107" s="539">
        <f t="shared" si="31"/>
        <v>20</v>
      </c>
      <c r="AP107" s="538">
        <f t="shared" si="32"/>
        <v>10</v>
      </c>
      <c r="AQ107" s="539">
        <f t="shared" si="30"/>
        <v>0</v>
      </c>
      <c r="AR107" s="535">
        <f>IF(SUM(AR$103:AR106)=0,AQ107,0)*AI107</f>
        <v>0</v>
      </c>
      <c r="AS107" s="32"/>
    </row>
    <row r="108" spans="1:45" x14ac:dyDescent="0.2">
      <c r="A108" s="41"/>
      <c r="B108" s="41"/>
      <c r="C108" s="41"/>
      <c r="D108" s="41"/>
      <c r="E108" s="41"/>
      <c r="F108" s="41"/>
      <c r="G108" s="41"/>
      <c r="H108" s="41"/>
      <c r="I108" s="41"/>
      <c r="J108" s="41"/>
      <c r="K108" s="41"/>
      <c r="L108" s="136"/>
      <c r="M108" s="136"/>
      <c r="N108" s="393"/>
      <c r="O108" s="393"/>
      <c r="U108" s="45" t="s">
        <v>2105</v>
      </c>
      <c r="W108" s="450">
        <f>SUM(AD104:AD106)</f>
        <v>47</v>
      </c>
      <c r="Y108" s="32"/>
      <c r="Z108" s="32"/>
      <c r="AA108" s="32"/>
      <c r="AB108" s="32"/>
      <c r="AC108" s="32"/>
      <c r="AD108" s="493"/>
      <c r="AE108" s="32"/>
      <c r="AF108" s="32"/>
      <c r="AG108" s="32"/>
      <c r="AH108" s="32"/>
      <c r="AI108" s="535">
        <f t="shared" si="33"/>
        <v>43</v>
      </c>
      <c r="AJ108" s="535" t="s">
        <v>856</v>
      </c>
      <c r="AK108" s="535">
        <v>27</v>
      </c>
      <c r="AL108" s="534">
        <v>1</v>
      </c>
      <c r="AM108" s="535">
        <v>40</v>
      </c>
      <c r="AN108" s="538">
        <f t="shared" si="29"/>
        <v>3</v>
      </c>
      <c r="AO108" s="539">
        <f t="shared" si="31"/>
        <v>27</v>
      </c>
      <c r="AP108" s="538">
        <f t="shared" si="32"/>
        <v>13.5</v>
      </c>
      <c r="AQ108" s="538">
        <f t="shared" si="30"/>
        <v>0</v>
      </c>
      <c r="AR108" s="535">
        <f>IF(SUM(AR$103:AR107)=0,AQ108,0)*AI108</f>
        <v>0</v>
      </c>
      <c r="AS108" s="32"/>
    </row>
    <row r="109" spans="1:45" ht="13.5" thickBot="1" x14ac:dyDescent="0.25">
      <c r="A109" s="41"/>
      <c r="B109" s="41"/>
      <c r="C109" s="41"/>
      <c r="D109" s="41"/>
      <c r="E109" s="41"/>
      <c r="F109" s="41"/>
      <c r="G109" s="41"/>
      <c r="H109" s="41"/>
      <c r="I109" s="41"/>
      <c r="J109" s="41"/>
      <c r="K109" s="41"/>
      <c r="L109" s="136"/>
      <c r="M109" s="136"/>
      <c r="N109" s="393"/>
      <c r="O109" s="393"/>
      <c r="U109" s="45" t="s">
        <v>2106</v>
      </c>
      <c r="W109" s="450" t="str">
        <f>IF(W108=0,"",LOOKUP(W108,U104:U106,V104:V106))</f>
        <v>UG090HD003</v>
      </c>
      <c r="X109" s="450" t="str">
        <f>IF(W108=0,"",IF(W109="","",CONCATENATE(W109,X112,X110,X111)))</f>
        <v>UG090HD003010240</v>
      </c>
      <c r="Y109" s="32"/>
      <c r="Z109" s="32"/>
      <c r="AA109" s="32"/>
      <c r="AB109" s="32"/>
      <c r="AC109" s="32"/>
      <c r="AD109" s="493"/>
      <c r="AE109" s="32"/>
      <c r="AF109" s="32"/>
      <c r="AG109" s="32"/>
      <c r="AH109" s="32"/>
      <c r="AI109" s="535">
        <f t="shared" si="33"/>
        <v>44</v>
      </c>
      <c r="AJ109" s="535" t="s">
        <v>857</v>
      </c>
      <c r="AK109" s="535">
        <v>40</v>
      </c>
      <c r="AL109" s="534">
        <v>1</v>
      </c>
      <c r="AM109" s="535">
        <v>40</v>
      </c>
      <c r="AN109" s="538">
        <f t="shared" si="29"/>
        <v>2</v>
      </c>
      <c r="AO109" s="539">
        <f t="shared" si="31"/>
        <v>40</v>
      </c>
      <c r="AP109" s="538">
        <f t="shared" si="32"/>
        <v>20</v>
      </c>
      <c r="AQ109" s="538">
        <f t="shared" si="30"/>
        <v>0</v>
      </c>
      <c r="AR109" s="535">
        <f>IF(SUM(AR$103:AR108)=0,AQ109,0)*AI109</f>
        <v>0</v>
      </c>
      <c r="AS109" s="32"/>
    </row>
    <row r="110" spans="1:45" x14ac:dyDescent="0.2">
      <c r="A110" s="41"/>
      <c r="B110" s="41"/>
      <c r="C110" s="41"/>
      <c r="D110" s="41"/>
      <c r="E110" s="41"/>
      <c r="F110" s="702" t="str">
        <f>IF(G98&lt;&gt;""," ", IF(G103&lt;&gt;""," ",BN134))</f>
        <v>UR080HL103</v>
      </c>
      <c r="G110" s="703"/>
      <c r="H110" s="704"/>
      <c r="I110" s="41"/>
      <c r="U110" s="45" t="s">
        <v>935</v>
      </c>
      <c r="W110" s="450">
        <f>IF(W108=0,"",LOOKUP(W108,U104:U106,X104:X106))</f>
        <v>2</v>
      </c>
      <c r="X110" s="450" t="str">
        <f>IF(LEN(W110)=1,CONCATENATE("0",W110),CONCATENATE(W110))</f>
        <v>02</v>
      </c>
      <c r="Y110" s="32"/>
      <c r="Z110" s="32"/>
      <c r="AA110" s="32"/>
      <c r="AB110" s="32"/>
      <c r="AC110" s="32"/>
      <c r="AD110" s="493"/>
      <c r="AE110" s="32"/>
      <c r="AF110" s="32"/>
      <c r="AG110" s="32"/>
      <c r="AH110" s="32"/>
      <c r="AI110" s="535">
        <f t="shared" si="33"/>
        <v>45</v>
      </c>
      <c r="AJ110" s="535" t="s">
        <v>858</v>
      </c>
      <c r="AK110" s="535">
        <v>60</v>
      </c>
      <c r="AL110" s="534">
        <v>2</v>
      </c>
      <c r="AM110" s="535">
        <v>40</v>
      </c>
      <c r="AN110" s="538">
        <f t="shared" si="29"/>
        <v>2</v>
      </c>
      <c r="AO110" s="539">
        <f t="shared" si="31"/>
        <v>60</v>
      </c>
      <c r="AP110" s="538">
        <f t="shared" si="32"/>
        <v>30</v>
      </c>
      <c r="AQ110" s="538">
        <f t="shared" si="30"/>
        <v>0</v>
      </c>
      <c r="AR110" s="535">
        <f>IF(SUM(AR$103:AR109)=0,AQ110,0)*AI110</f>
        <v>0</v>
      </c>
      <c r="AS110" s="32"/>
    </row>
    <row r="111" spans="1:45" ht="13.5" thickBot="1" x14ac:dyDescent="0.25">
      <c r="A111" s="41"/>
      <c r="B111" s="41"/>
      <c r="C111" s="41"/>
      <c r="D111" s="41"/>
      <c r="E111" s="41"/>
      <c r="F111" s="705"/>
      <c r="G111" s="706"/>
      <c r="H111" s="707"/>
      <c r="I111" s="41"/>
      <c r="U111" s="45" t="s">
        <v>2107</v>
      </c>
      <c r="W111" s="450">
        <f>IF(W108=0,"",LOOKUP(W108,U104:U106,Y104:Y106))</f>
        <v>40</v>
      </c>
      <c r="X111" s="450" t="str">
        <f>IF(LEN(W111)=1,CONCATENATE("0",W111),CONCATENATE(W111))</f>
        <v>40</v>
      </c>
      <c r="Y111" s="32"/>
      <c r="Z111" s="32"/>
      <c r="AA111" s="32"/>
      <c r="AB111" s="32"/>
      <c r="AC111" s="32"/>
      <c r="AD111" s="493"/>
      <c r="AE111" s="32"/>
      <c r="AF111" s="32"/>
      <c r="AG111" s="32"/>
      <c r="AH111" s="32"/>
      <c r="AI111" s="32"/>
      <c r="AJ111" s="32"/>
      <c r="AK111" s="32"/>
      <c r="AM111" s="32"/>
      <c r="AN111" s="490"/>
      <c r="AO111" s="490"/>
      <c r="AP111" s="35"/>
      <c r="AQ111" s="490"/>
      <c r="AR111" s="35"/>
      <c r="AS111" s="32"/>
    </row>
    <row r="112" spans="1:45" x14ac:dyDescent="0.2">
      <c r="A112" s="41"/>
      <c r="B112" s="41"/>
      <c r="C112" s="41"/>
      <c r="D112" s="41"/>
      <c r="E112" s="41"/>
      <c r="F112" s="41"/>
      <c r="G112" s="41"/>
      <c r="H112" s="41"/>
      <c r="I112" s="41"/>
      <c r="J112" s="41"/>
      <c r="K112" s="41"/>
      <c r="L112" s="136"/>
      <c r="M112" s="136"/>
      <c r="N112" s="393"/>
      <c r="O112" s="393"/>
      <c r="U112" s="32" t="s">
        <v>2116</v>
      </c>
      <c r="V112" s="32"/>
      <c r="W112" s="450">
        <f>IF(W108=0,"",LOOKUP(W108,U104:U106,Z104:Z106))</f>
        <v>1</v>
      </c>
      <c r="X112" s="450" t="str">
        <f>IF(LEN(W112)=1,CONCATENATE("0",W112),CONCATENATE(W112))</f>
        <v>01</v>
      </c>
      <c r="Y112" s="32"/>
      <c r="Z112" s="32"/>
      <c r="AA112" s="32"/>
      <c r="AB112" s="32"/>
      <c r="AC112" s="32"/>
      <c r="AD112" s="32"/>
      <c r="AE112" s="32"/>
      <c r="AF112" s="32"/>
      <c r="AG112" s="32"/>
      <c r="AH112" s="32"/>
      <c r="AI112" s="32"/>
      <c r="AJ112" s="32"/>
      <c r="AK112" s="32"/>
      <c r="AM112" s="32"/>
      <c r="AN112" s="490"/>
      <c r="AO112" s="490"/>
      <c r="AP112" s="35"/>
      <c r="AQ112" s="490"/>
      <c r="AR112" s="35"/>
      <c r="AS112" s="32"/>
    </row>
    <row r="113" spans="1:64" ht="27" hidden="1" x14ac:dyDescent="0.2">
      <c r="A113" s="41"/>
      <c r="B113" s="130" t="str">
        <f>LINGUA!C558</f>
        <v>STEP 4</v>
      </c>
      <c r="C113" s="41"/>
      <c r="D113" s="41"/>
      <c r="E113" s="41"/>
      <c r="F113" s="41"/>
      <c r="G113" s="41"/>
      <c r="H113" s="41"/>
      <c r="I113" s="41"/>
      <c r="J113" s="41"/>
      <c r="K113" s="41"/>
      <c r="L113" s="136"/>
      <c r="M113" s="136"/>
      <c r="N113" s="393"/>
      <c r="O113" s="393"/>
      <c r="U113" s="32"/>
      <c r="V113" s="32"/>
      <c r="W113" s="32"/>
      <c r="X113" s="32"/>
      <c r="Y113" s="32"/>
      <c r="Z113" s="32"/>
      <c r="AA113" s="32"/>
      <c r="AB113" s="32"/>
      <c r="AC113" s="32"/>
      <c r="AD113" s="32"/>
      <c r="AE113" s="32"/>
      <c r="AF113" s="32"/>
      <c r="AG113" s="32"/>
      <c r="AH113" s="32"/>
      <c r="AI113" s="32"/>
      <c r="AM113" s="32"/>
      <c r="AN113" s="490"/>
      <c r="AO113" s="490"/>
      <c r="AP113" s="35"/>
      <c r="AQ113" s="490"/>
      <c r="AR113" s="35"/>
      <c r="AS113" s="32"/>
    </row>
    <row r="114" spans="1:64" hidden="1" x14ac:dyDescent="0.2">
      <c r="U114" s="32"/>
      <c r="V114" s="32"/>
      <c r="W114" s="493"/>
      <c r="X114" s="32"/>
      <c r="Y114" s="32"/>
      <c r="Z114" s="32"/>
      <c r="AA114" s="32"/>
      <c r="AB114" s="32"/>
      <c r="AC114" s="32"/>
      <c r="AD114" s="32"/>
      <c r="AE114" s="32"/>
      <c r="AF114" s="32"/>
      <c r="AG114" s="32"/>
      <c r="AH114" s="32"/>
      <c r="AI114" s="32"/>
      <c r="AJ114" s="32"/>
      <c r="AK114" s="32"/>
      <c r="AM114" s="32"/>
      <c r="AN114" s="490"/>
      <c r="AO114" s="490"/>
      <c r="AP114" s="35"/>
      <c r="AQ114" s="490"/>
      <c r="AR114" s="35"/>
      <c r="AS114" s="32"/>
    </row>
    <row r="115" spans="1:64" hidden="1" x14ac:dyDescent="0.2">
      <c r="A115" s="375"/>
      <c r="B115" s="375"/>
      <c r="C115" s="55"/>
      <c r="D115" s="55" t="str">
        <f>LINGUA!C549</f>
        <v>Choise of the Steam Distributor (if required)</v>
      </c>
      <c r="E115" s="375"/>
      <c r="F115" s="375"/>
      <c r="G115" s="712"/>
      <c r="H115" s="713"/>
      <c r="I115" s="713"/>
      <c r="J115" s="697"/>
      <c r="K115" s="375"/>
      <c r="L115" s="378"/>
      <c r="M115" s="378"/>
      <c r="U115" s="32"/>
      <c r="V115" s="32"/>
      <c r="W115" s="493"/>
      <c r="X115" s="32"/>
      <c r="Y115" s="32"/>
      <c r="Z115" s="32"/>
      <c r="AA115" s="32"/>
      <c r="AB115" s="32"/>
      <c r="AC115" s="32"/>
      <c r="AD115" s="32"/>
      <c r="AE115" s="32"/>
      <c r="AF115" s="32"/>
      <c r="AG115" s="32"/>
      <c r="AH115" s="32"/>
      <c r="AI115" s="32"/>
      <c r="AJ115" s="32"/>
      <c r="AK115" s="32"/>
      <c r="AL115" s="32"/>
      <c r="AM115" s="32"/>
      <c r="AN115" s="35"/>
      <c r="AO115" s="35"/>
      <c r="AP115" s="35"/>
      <c r="AQ115" s="490"/>
      <c r="AR115" s="35"/>
      <c r="AS115" s="32"/>
    </row>
    <row r="116" spans="1:64" hidden="1" x14ac:dyDescent="0.2">
      <c r="A116" s="375"/>
      <c r="B116" s="375"/>
      <c r="C116" s="55"/>
      <c r="D116" s="55"/>
      <c r="E116" s="375"/>
      <c r="F116" s="375"/>
      <c r="G116" s="375"/>
      <c r="H116" s="375"/>
      <c r="I116" s="375"/>
      <c r="J116" s="375"/>
      <c r="K116" s="375"/>
      <c r="L116" s="378"/>
      <c r="M116" s="378"/>
      <c r="U116" s="32"/>
      <c r="V116" s="32"/>
      <c r="W116" s="493"/>
      <c r="X116" s="32"/>
      <c r="Y116" s="32"/>
      <c r="Z116" s="32"/>
      <c r="AA116" s="32"/>
      <c r="AB116" s="32"/>
      <c r="AC116" s="32"/>
      <c r="AD116" s="32"/>
      <c r="AE116" s="32"/>
      <c r="AF116" s="32"/>
      <c r="AG116" s="32"/>
      <c r="AH116" s="32"/>
      <c r="AI116" s="32"/>
      <c r="AJ116" s="32"/>
      <c r="AK116" s="32"/>
      <c r="AL116" s="32"/>
      <c r="AM116" s="32"/>
      <c r="AN116" s="35"/>
      <c r="AO116" s="35"/>
      <c r="AP116" s="35"/>
      <c r="AQ116" s="490"/>
      <c r="AR116" s="35"/>
      <c r="AS116" s="32"/>
    </row>
    <row r="117" spans="1:64" ht="13.5" hidden="1" thickBot="1" x14ac:dyDescent="0.25">
      <c r="A117" s="375"/>
      <c r="B117" s="375"/>
      <c r="C117" s="55"/>
      <c r="D117" s="568" t="str">
        <f>LINGUA!C550</f>
        <v>Steam distributor suggested automatically by the tool</v>
      </c>
      <c r="E117" s="569"/>
      <c r="F117" s="569"/>
      <c r="G117" s="569"/>
      <c r="H117" s="569"/>
      <c r="I117" s="569"/>
      <c r="J117" s="569"/>
      <c r="K117" s="375"/>
      <c r="L117" s="378"/>
      <c r="M117" s="378"/>
      <c r="U117" s="32"/>
      <c r="V117" s="32"/>
      <c r="W117" s="493"/>
      <c r="X117" s="32"/>
      <c r="Y117" s="32"/>
      <c r="Z117" s="32"/>
      <c r="AA117" s="32"/>
      <c r="AB117" s="32"/>
      <c r="AC117" s="32"/>
      <c r="AD117" s="32"/>
      <c r="AE117" s="32"/>
      <c r="AF117" s="32"/>
      <c r="AG117" s="32"/>
      <c r="AH117" s="32"/>
      <c r="AI117" s="32"/>
      <c r="AJ117" s="32"/>
      <c r="AK117" s="32"/>
      <c r="AL117" s="32"/>
      <c r="AM117" s="32"/>
      <c r="AN117" s="35"/>
      <c r="AO117" s="35"/>
      <c r="AP117" s="35"/>
      <c r="AQ117" s="490"/>
      <c r="AR117" s="35"/>
      <c r="AS117" s="32"/>
    </row>
    <row r="118" spans="1:64" ht="13.5" hidden="1" x14ac:dyDescent="0.25">
      <c r="A118" s="375"/>
      <c r="B118" s="375"/>
      <c r="C118" s="375"/>
      <c r="D118" s="570"/>
      <c r="E118" s="571"/>
      <c r="F118" s="571"/>
      <c r="G118" s="571"/>
      <c r="H118" s="571"/>
      <c r="I118" s="571"/>
      <c r="J118" s="572"/>
      <c r="K118" s="375"/>
      <c r="L118" s="378"/>
      <c r="M118" s="378"/>
      <c r="U118" s="32"/>
      <c r="V118" s="32"/>
      <c r="W118" s="32"/>
      <c r="X118" s="32"/>
      <c r="Y118" s="470"/>
      <c r="Z118" s="32"/>
      <c r="AA118" s="32"/>
      <c r="AB118" s="32"/>
      <c r="AC118" s="32"/>
      <c r="AD118" s="32"/>
      <c r="AE118" s="32"/>
      <c r="AF118" s="32"/>
      <c r="AG118" s="32"/>
      <c r="AH118" s="32"/>
      <c r="AS118" s="32"/>
    </row>
    <row r="119" spans="1:64" hidden="1" x14ac:dyDescent="0.2">
      <c r="A119" s="375"/>
      <c r="B119" s="375"/>
      <c r="C119" s="376" t="b">
        <v>0</v>
      </c>
      <c r="D119" s="573" t="str">
        <f>LINGUA!C554</f>
        <v>Steam distributor code</v>
      </c>
      <c r="E119" s="574"/>
      <c r="F119" s="574"/>
      <c r="G119" s="574" t="str">
        <f>LINGUA!B57</f>
        <v>No. of distributors in the duct</v>
      </c>
      <c r="H119" s="574"/>
      <c r="I119" s="574"/>
      <c r="J119" s="575"/>
      <c r="K119" s="379"/>
      <c r="L119" s="379"/>
      <c r="M119" s="378"/>
      <c r="U119" s="32"/>
      <c r="V119" s="32"/>
      <c r="W119" s="32"/>
      <c r="X119" s="32"/>
      <c r="Y119" s="32"/>
      <c r="Z119" s="32"/>
      <c r="AA119" s="32"/>
      <c r="AB119" s="32"/>
      <c r="AC119" s="32"/>
      <c r="AD119" s="32"/>
      <c r="AE119" s="32"/>
      <c r="AF119" s="32"/>
      <c r="AG119" s="32"/>
      <c r="AH119" s="32"/>
      <c r="AI119" s="531" t="s">
        <v>2105</v>
      </c>
      <c r="AJ119" s="531"/>
      <c r="AK119" s="540">
        <f>SUM(AR103:AR110)</f>
        <v>0</v>
      </c>
      <c r="AL119" s="531"/>
      <c r="AS119" s="32"/>
    </row>
    <row r="120" spans="1:64" hidden="1" x14ac:dyDescent="0.2">
      <c r="A120" s="375"/>
      <c r="B120" s="375"/>
      <c r="C120" s="375"/>
      <c r="D120" s="688" t="str">
        <f>VLOOKUP(1,DP!A2:D64,4,0)</f>
        <v>DP060D40RU</v>
      </c>
      <c r="E120" s="689"/>
      <c r="F120" s="574"/>
      <c r="G120" s="710">
        <f>VLOOKUP(1,DP!A2:N64,14,0)*E86</f>
        <v>2</v>
      </c>
      <c r="H120" s="710"/>
      <c r="I120" s="710"/>
      <c r="J120" s="711"/>
      <c r="K120" s="379"/>
      <c r="L120" s="379"/>
      <c r="M120" s="378"/>
      <c r="O120" s="403"/>
      <c r="U120" s="32"/>
      <c r="V120" s="32"/>
      <c r="W120" s="32"/>
      <c r="X120" s="32"/>
      <c r="Y120" s="32"/>
      <c r="Z120" s="32"/>
      <c r="AA120" s="32"/>
      <c r="AB120" s="32"/>
      <c r="AC120" s="32"/>
      <c r="AD120" s="32"/>
      <c r="AE120" s="32"/>
      <c r="AF120" s="32"/>
      <c r="AG120" s="32"/>
      <c r="AH120" s="32"/>
      <c r="AI120" s="531" t="s">
        <v>2106</v>
      </c>
      <c r="AJ120" s="531"/>
      <c r="AK120" s="540" t="str">
        <f>IF(AK119=0,"",LOOKUP(AK119,AI103:AI110,AJ103:AJ110))</f>
        <v/>
      </c>
      <c r="AL120" s="540" t="str">
        <f>IF(AK119=0,"",IF(AK120="","",CONCATENATE(AK120,AL123,AL121,AL122)))</f>
        <v/>
      </c>
      <c r="AS120" s="32"/>
    </row>
    <row r="121" spans="1:64" hidden="1" x14ac:dyDescent="0.2">
      <c r="A121" s="375"/>
      <c r="B121" s="375"/>
      <c r="C121" s="375"/>
      <c r="D121" s="573"/>
      <c r="E121" s="574"/>
      <c r="F121" s="574"/>
      <c r="G121" s="574"/>
      <c r="H121" s="574"/>
      <c r="I121" s="574"/>
      <c r="J121" s="575"/>
      <c r="K121" s="375"/>
      <c r="L121" s="378"/>
      <c r="M121" s="378"/>
      <c r="O121" s="403"/>
      <c r="U121" s="32"/>
      <c r="V121" s="32"/>
      <c r="W121" s="32"/>
      <c r="X121" s="32"/>
      <c r="Y121" s="32"/>
      <c r="Z121" s="32"/>
      <c r="AA121" s="32"/>
      <c r="AB121" s="32"/>
      <c r="AC121" s="32"/>
      <c r="AD121" s="32"/>
      <c r="AE121" s="32"/>
      <c r="AF121" s="32"/>
      <c r="AG121" s="32"/>
      <c r="AH121" s="32"/>
      <c r="AI121" s="531" t="s">
        <v>935</v>
      </c>
      <c r="AJ121" s="531"/>
      <c r="AK121" s="540" t="str">
        <f>IF(AK119=0,"",LOOKUP(AK119,AI103:AI110,AL103:AL110))</f>
        <v/>
      </c>
      <c r="AL121" s="540" t="str">
        <f>IF(LEN(AK121)=1,CONCATENATE("0",AK121),CONCATENATE(AK121))</f>
        <v/>
      </c>
      <c r="AS121" s="32"/>
    </row>
    <row r="122" spans="1:64" hidden="1" x14ac:dyDescent="0.2">
      <c r="A122" s="375"/>
      <c r="B122" s="375"/>
      <c r="C122" s="375"/>
      <c r="D122" s="573" t="str">
        <f>LINGUA!B61</f>
        <v>Humidification distance (m)</v>
      </c>
      <c r="E122" s="574"/>
      <c r="F122" s="574"/>
      <c r="G122" s="574" t="str">
        <f>LINGUA!B20</f>
        <v>Air speed</v>
      </c>
      <c r="H122" s="574"/>
      <c r="I122" s="574"/>
      <c r="J122" s="575"/>
      <c r="K122" s="375"/>
      <c r="L122" s="378"/>
      <c r="M122" s="378"/>
      <c r="O122" s="403"/>
      <c r="U122" s="32"/>
      <c r="V122" s="32"/>
      <c r="W122" s="493"/>
      <c r="X122" s="32"/>
      <c r="Y122" s="32"/>
      <c r="Z122" s="32"/>
      <c r="AA122" s="32"/>
      <c r="AB122" s="32"/>
      <c r="AC122" s="32"/>
      <c r="AD122" s="32"/>
      <c r="AE122" s="32"/>
      <c r="AF122" s="32"/>
      <c r="AG122" s="32"/>
      <c r="AH122" s="32"/>
      <c r="AI122" s="531" t="s">
        <v>2107</v>
      </c>
      <c r="AJ122" s="531"/>
      <c r="AK122" s="540" t="str">
        <f>IF(AK119=0,"",LOOKUP(AK119,AI103:AI110,AM103:AM110))</f>
        <v/>
      </c>
      <c r="AL122" s="540" t="str">
        <f>IF(LEN(AK122)=1,CONCATENATE("0",AK122),CONCATENATE(AK122))</f>
        <v/>
      </c>
      <c r="AR122" s="45" t="s">
        <v>2882</v>
      </c>
      <c r="AS122" s="32"/>
    </row>
    <row r="123" spans="1:64" hidden="1" x14ac:dyDescent="0.2">
      <c r="A123" s="375"/>
      <c r="B123" s="375"/>
      <c r="C123" s="379"/>
      <c r="D123" s="690">
        <f>'Steam absoprtion distance-AUTO'!$M$18</f>
        <v>1.46</v>
      </c>
      <c r="E123" s="691"/>
      <c r="F123" s="574"/>
      <c r="G123" s="708">
        <f>'Steam absoprtion distance-AUTO'!M15</f>
        <v>2.1043771043771042</v>
      </c>
      <c r="H123" s="708"/>
      <c r="I123" s="708"/>
      <c r="J123" s="709"/>
      <c r="K123" s="375"/>
      <c r="L123" s="378"/>
      <c r="M123" s="378"/>
      <c r="O123" s="405"/>
      <c r="U123" s="32"/>
      <c r="V123" s="32"/>
      <c r="W123" s="32"/>
      <c r="X123" s="32"/>
      <c r="Y123" s="32"/>
      <c r="Z123" s="32"/>
      <c r="AA123" s="32"/>
      <c r="AB123" s="32"/>
      <c r="AC123" s="32"/>
      <c r="AD123" s="32"/>
      <c r="AE123" s="32"/>
      <c r="AF123" s="32"/>
      <c r="AG123" s="32"/>
      <c r="AH123" s="32"/>
      <c r="AI123" s="531" t="s">
        <v>2110</v>
      </c>
      <c r="AJ123" s="531"/>
      <c r="AK123" s="540" t="str">
        <f>IF(AK119=0,"",LOOKUP(AK119,AI103:AI110,AN103:AN110))</f>
        <v/>
      </c>
      <c r="AL123" s="540" t="str">
        <f>IF(LEN(AK123)=1,CONCATENATE("0",AK123),CONCATENATE(AK123))</f>
        <v/>
      </c>
      <c r="AP123" s="45" t="str">
        <f>MID(D93,3,3)</f>
        <v>080</v>
      </c>
      <c r="AR123" s="45" t="s">
        <v>936</v>
      </c>
      <c r="AS123" s="32" t="s">
        <v>2856</v>
      </c>
    </row>
    <row r="124" spans="1:64" hidden="1" x14ac:dyDescent="0.2">
      <c r="A124" s="375"/>
      <c r="B124" s="375"/>
      <c r="C124" s="375"/>
      <c r="D124" s="573"/>
      <c r="E124" s="574"/>
      <c r="F124" s="574"/>
      <c r="G124" s="574"/>
      <c r="H124" s="574"/>
      <c r="I124" s="574"/>
      <c r="J124" s="575"/>
      <c r="K124" s="375"/>
      <c r="L124" s="378"/>
      <c r="M124" s="378"/>
      <c r="O124" s="405"/>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t="s">
        <v>937</v>
      </c>
      <c r="AS124" s="32" t="s">
        <v>2857</v>
      </c>
    </row>
    <row r="125" spans="1:64" hidden="1" x14ac:dyDescent="0.2">
      <c r="A125" s="375"/>
      <c r="B125" s="375"/>
      <c r="C125" s="375"/>
      <c r="D125" s="573" t="str">
        <f>LINGUA!B59</f>
        <v>Max kg/h per distributor</v>
      </c>
      <c r="E125" s="574"/>
      <c r="F125" s="574"/>
      <c r="G125" s="574" t="str">
        <f>LINGUA!B60</f>
        <v>Distributor length (mm)</v>
      </c>
      <c r="H125" s="574"/>
      <c r="I125" s="574"/>
      <c r="J125" s="575"/>
      <c r="K125" s="375"/>
      <c r="L125" s="378"/>
      <c r="M125" s="378"/>
      <c r="O125" s="405"/>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t="s">
        <v>938</v>
      </c>
      <c r="AS125" s="32" t="s">
        <v>2858</v>
      </c>
    </row>
    <row r="126" spans="1:64" hidden="1" x14ac:dyDescent="0.2">
      <c r="A126" s="375"/>
      <c r="B126" s="375"/>
      <c r="C126" s="375"/>
      <c r="D126" s="688">
        <f>'Steam absoprtion distance-AUTO'!M9</f>
        <v>45</v>
      </c>
      <c r="E126" s="689"/>
      <c r="F126" s="574"/>
      <c r="G126" s="692">
        <f>'Steam absoprtion distance-AUTO'!M12</f>
        <v>600</v>
      </c>
      <c r="H126" s="692"/>
      <c r="I126" s="692"/>
      <c r="J126" s="693"/>
      <c r="K126" s="375"/>
      <c r="L126" s="381"/>
      <c r="M126" s="382"/>
      <c r="O126" s="406"/>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t="s">
        <v>2859</v>
      </c>
      <c r="AS126" s="32" t="s">
        <v>2860</v>
      </c>
      <c r="AX126" s="45" t="e">
        <f>IF(F93=K95,AQ133,IF(AP123=(OR(AX134,AX160,AX161,AX138)),_UE01,IF(AP123=AX135,_UE03,IF(AP123=AX162,_UE06,IF(AP123=AX136,_UE05,IF(AP123=(OR(AX137,AX139,AX140,AX142,AX144,AX143,AX165,AX166)),_UE08,_UE18))))))</f>
        <v>#VALUE!</v>
      </c>
    </row>
    <row r="127" spans="1:64" ht="13.5" hidden="1" thickBot="1" x14ac:dyDescent="0.25">
      <c r="A127" s="375"/>
      <c r="B127" s="375"/>
      <c r="C127" s="375"/>
      <c r="D127" s="576"/>
      <c r="E127" s="577"/>
      <c r="F127" s="577"/>
      <c r="G127" s="577"/>
      <c r="H127" s="577"/>
      <c r="I127" s="577"/>
      <c r="J127" s="578"/>
      <c r="K127" s="379"/>
      <c r="L127" s="379"/>
      <c r="M127" s="380"/>
      <c r="N127" s="380"/>
      <c r="O127" s="407"/>
      <c r="U127" s="494" t="s">
        <v>2115</v>
      </c>
      <c r="V127" s="32"/>
      <c r="W127" s="32"/>
      <c r="X127" s="32"/>
      <c r="Y127" s="32"/>
      <c r="Z127" s="32"/>
      <c r="AA127" s="32"/>
      <c r="AB127" s="32" t="str">
        <f>CONCATENATE(X94,X95,AX94,AX95,AL85,X109)</f>
        <v>UE065XL000010240UE065YL000010240UR080HL002010240UG090HD003010240</v>
      </c>
      <c r="AC127" s="32"/>
      <c r="AD127" s="32"/>
      <c r="AE127" s="32"/>
      <c r="AF127" s="32"/>
      <c r="AG127" s="32"/>
      <c r="AH127" s="32"/>
      <c r="AI127" s="32"/>
      <c r="AJ127" s="32"/>
      <c r="AK127" s="32"/>
      <c r="AL127" s="32"/>
      <c r="AM127" s="32"/>
      <c r="AN127" s="32"/>
      <c r="AO127" s="32"/>
      <c r="AP127" s="32"/>
      <c r="AQ127" s="32"/>
      <c r="AR127" s="32" t="s">
        <v>939</v>
      </c>
      <c r="AS127" s="32" t="s">
        <v>2862</v>
      </c>
    </row>
    <row r="128" spans="1:64" ht="13.5" hidden="1" x14ac:dyDescent="0.25">
      <c r="A128" s="375"/>
      <c r="B128" s="375"/>
      <c r="C128" s="375"/>
      <c r="D128" s="569"/>
      <c r="E128" s="569"/>
      <c r="F128" s="569"/>
      <c r="G128" s="569"/>
      <c r="H128" s="569"/>
      <c r="I128" s="569"/>
      <c r="J128" s="569"/>
      <c r="K128" s="375"/>
      <c r="L128" s="379"/>
      <c r="M128" s="379"/>
      <c r="N128" s="380"/>
      <c r="O128" s="407"/>
      <c r="U128" s="486"/>
      <c r="V128" s="486"/>
      <c r="W128" s="32"/>
      <c r="X128" s="32"/>
      <c r="Y128" s="486"/>
      <c r="Z128" s="486"/>
      <c r="AA128" s="32"/>
      <c r="AB128" s="32"/>
      <c r="AC128" s="32"/>
      <c r="AD128" s="32"/>
      <c r="AE128" s="32"/>
      <c r="AF128" s="32"/>
      <c r="AG128" s="32"/>
      <c r="AH128" s="32"/>
      <c r="AI128" s="32"/>
      <c r="AJ128" s="32"/>
      <c r="AK128" s="32"/>
      <c r="AL128" s="32"/>
      <c r="AM128" s="32"/>
      <c r="AN128" s="32"/>
      <c r="AO128" s="32"/>
      <c r="AP128" s="32"/>
      <c r="AQ128" s="32"/>
      <c r="AR128" s="32" t="s">
        <v>2072</v>
      </c>
      <c r="AS128" s="32" t="s">
        <v>2861</v>
      </c>
      <c r="BL128" s="446" t="s">
        <v>628</v>
      </c>
    </row>
    <row r="129" spans="1:130" ht="16.5" hidden="1" thickBot="1" x14ac:dyDescent="0.3">
      <c r="A129" s="375"/>
      <c r="B129" s="375"/>
      <c r="C129" s="375"/>
      <c r="D129" s="569"/>
      <c r="E129" s="569"/>
      <c r="F129" s="569"/>
      <c r="G129" s="569"/>
      <c r="H129" s="569"/>
      <c r="I129" s="569"/>
      <c r="J129" s="569"/>
      <c r="K129" s="375"/>
      <c r="L129" s="390"/>
      <c r="M129" s="390"/>
      <c r="N129" s="391"/>
      <c r="O129" s="408"/>
      <c r="U129" s="486"/>
      <c r="V129" s="486"/>
      <c r="W129" s="32"/>
      <c r="X129" s="32"/>
      <c r="Y129" s="486"/>
      <c r="Z129" s="486"/>
      <c r="AA129" s="32"/>
      <c r="AB129" s="32"/>
      <c r="AC129" s="32"/>
      <c r="AD129" s="32"/>
      <c r="AE129" s="32"/>
      <c r="AF129" s="32"/>
      <c r="AG129" s="32"/>
      <c r="AH129" s="32"/>
      <c r="AI129" s="32"/>
      <c r="AJ129" s="32"/>
      <c r="AK129" s="32"/>
      <c r="AL129" s="32"/>
      <c r="AM129" s="32"/>
      <c r="AN129" s="32"/>
      <c r="AO129" s="32"/>
      <c r="AP129" s="32"/>
      <c r="AQ129" s="32"/>
      <c r="AR129" s="32"/>
      <c r="AS129" s="32"/>
      <c r="BL129" s="446"/>
    </row>
    <row r="130" spans="1:130" ht="15.75" hidden="1" x14ac:dyDescent="0.25">
      <c r="A130" s="375"/>
      <c r="B130" s="375"/>
      <c r="C130" s="375"/>
      <c r="D130" s="579" t="str">
        <f>LINGUA!B51</f>
        <v>Y connection for steam hose</v>
      </c>
      <c r="E130" s="580"/>
      <c r="F130" s="571"/>
      <c r="G130" s="581" t="str">
        <f>LINGUA!B26</f>
        <v>Quantity</v>
      </c>
      <c r="H130" s="580"/>
      <c r="I130" s="580"/>
      <c r="J130" s="582"/>
      <c r="K130" s="379"/>
      <c r="L130" s="390"/>
      <c r="M130" s="390"/>
      <c r="N130" s="391"/>
      <c r="O130" s="408" t="str">
        <f>LINGUA!C559</f>
        <v>Chosen by the tool</v>
      </c>
      <c r="U130" s="450" t="s">
        <v>960</v>
      </c>
      <c r="V130" s="450" t="s">
        <v>861</v>
      </c>
      <c r="W130" s="481" t="s">
        <v>958</v>
      </c>
      <c r="X130" s="450" t="s">
        <v>1210</v>
      </c>
      <c r="Y130" s="481" t="s">
        <v>1211</v>
      </c>
      <c r="Z130" s="481" t="s">
        <v>958</v>
      </c>
      <c r="AA130" s="481" t="s">
        <v>1210</v>
      </c>
      <c r="AB130" s="481" t="s">
        <v>1211</v>
      </c>
      <c r="AC130" s="450" t="s">
        <v>960</v>
      </c>
      <c r="AD130" s="32"/>
      <c r="AE130" s="464"/>
      <c r="AF130" s="32"/>
      <c r="AG130" s="32"/>
      <c r="AH130" s="32"/>
      <c r="AI130" s="32"/>
      <c r="AJ130" s="446" t="s">
        <v>1822</v>
      </c>
      <c r="AM130" s="32"/>
      <c r="AN130" s="32"/>
      <c r="AO130" s="446" t="s">
        <v>621</v>
      </c>
      <c r="AP130" s="32"/>
      <c r="AQ130" s="32"/>
      <c r="AR130" s="32"/>
      <c r="AS130" s="32"/>
      <c r="AX130" s="495"/>
      <c r="AY130" s="32"/>
      <c r="AZ130" s="32"/>
      <c r="BA130" s="446" t="s">
        <v>622</v>
      </c>
      <c r="BB130" s="31"/>
      <c r="BC130" s="31"/>
      <c r="BD130" s="31"/>
      <c r="BE130" s="31"/>
      <c r="BP130" s="445" t="s">
        <v>619</v>
      </c>
    </row>
    <row r="131" spans="1:130" ht="13.5" hidden="1" x14ac:dyDescent="0.25">
      <c r="A131" s="375"/>
      <c r="B131" s="375"/>
      <c r="C131" s="379"/>
      <c r="D131" s="688" t="str">
        <f>IF(VLOOKUP(1,DP!A2:S64,19,0)&lt;&gt;0,VLOOKUP(1,DP!A2:S64,19,0)," ")</f>
        <v xml:space="preserve"> </v>
      </c>
      <c r="E131" s="689"/>
      <c r="F131" s="574"/>
      <c r="G131" s="692" t="str">
        <f>IF(D131=" "," ",ROUNDUP(G120/2,0))</f>
        <v xml:space="preserve"> </v>
      </c>
      <c r="H131" s="692"/>
      <c r="I131" s="692"/>
      <c r="J131" s="693"/>
      <c r="K131" s="375"/>
      <c r="L131" s="381"/>
      <c r="M131" s="381"/>
      <c r="O131" s="408" t="str">
        <f>LINGUA!C560</f>
        <v>Chosen by the user</v>
      </c>
      <c r="U131" s="496">
        <v>1</v>
      </c>
      <c r="V131" s="496" t="str">
        <f t="shared" ref="V131:V138" si="34">MID($AB$127,U131,6)</f>
        <v>UE065X</v>
      </c>
      <c r="W131" s="496">
        <f t="shared" ref="W131:W137" si="35">VALUE(MID($AB$127,U131+10,2))</f>
        <v>1</v>
      </c>
      <c r="X131" s="496">
        <f t="shared" ref="X131:X137" si="36">VALUE(MID($AB$127,U131+12,2))</f>
        <v>2</v>
      </c>
      <c r="Y131" s="496">
        <f t="shared" ref="Y131:Y137" si="37">VALUE(MID($AB$127,U131+14,2))</f>
        <v>40</v>
      </c>
      <c r="Z131" s="481" t="str">
        <f>IF($V131=$D$93,W131,"")</f>
        <v/>
      </c>
      <c r="AA131" s="481" t="str">
        <f t="shared" ref="Z131:AB138" si="38">IF($V131=$D$93,X131,"")</f>
        <v/>
      </c>
      <c r="AB131" s="481" t="str">
        <f t="shared" si="38"/>
        <v/>
      </c>
      <c r="AC131" s="450">
        <f>U131</f>
        <v>1</v>
      </c>
      <c r="AD131" s="32"/>
      <c r="AE131" s="32"/>
      <c r="AF131" s="32"/>
      <c r="AG131" s="32"/>
      <c r="AH131" s="32"/>
      <c r="AI131" s="32"/>
      <c r="AJ131" s="32"/>
      <c r="AM131" s="32"/>
      <c r="AN131" s="32"/>
      <c r="AO131" s="32"/>
      <c r="AP131" s="32"/>
      <c r="AQ131" s="32"/>
      <c r="AR131" s="32"/>
      <c r="AS131" s="32"/>
      <c r="AX131" s="450">
        <f>(VLOOKUP($D$93,$AI$134:$AJ$181,2,0)+1)</f>
        <v>38</v>
      </c>
      <c r="AY131" s="32"/>
      <c r="AZ131" s="32"/>
      <c r="BB131" s="31"/>
      <c r="BC131" s="31"/>
      <c r="BD131" s="31"/>
      <c r="BE131" s="31"/>
      <c r="BI131" s="447">
        <f>(VLOOKUP($D$93,$AI$134:$AJ$181,2,0)+1)</f>
        <v>38</v>
      </c>
      <c r="BL131" s="447" t="str">
        <f>D93</f>
        <v>UR080H</v>
      </c>
      <c r="BP131" s="445" t="s">
        <v>1821</v>
      </c>
    </row>
    <row r="132" spans="1:130" ht="15.75" hidden="1" thickBot="1" x14ac:dyDescent="0.3">
      <c r="A132" s="375"/>
      <c r="B132" s="375"/>
      <c r="C132" s="379"/>
      <c r="D132" s="576"/>
      <c r="E132" s="577"/>
      <c r="F132" s="577"/>
      <c r="G132" s="577"/>
      <c r="H132" s="577"/>
      <c r="I132" s="577"/>
      <c r="J132" s="578"/>
      <c r="K132" s="376"/>
      <c r="L132" s="381"/>
      <c r="M132" s="383"/>
      <c r="O132" s="405"/>
      <c r="U132" s="496"/>
      <c r="V132" s="496"/>
      <c r="W132" s="496"/>
      <c r="X132" s="496"/>
      <c r="Y132" s="496"/>
      <c r="Z132" s="481"/>
      <c r="AA132" s="481"/>
      <c r="AB132" s="481"/>
      <c r="AC132" s="450"/>
      <c r="AD132" s="32"/>
      <c r="AE132" s="32"/>
      <c r="AF132" s="32"/>
      <c r="AG132" s="32"/>
      <c r="AH132" s="32"/>
      <c r="AI132" s="32"/>
      <c r="AJ132" s="32"/>
      <c r="AM132" s="32"/>
      <c r="AN132" s="32"/>
      <c r="AO132" s="32"/>
      <c r="AP132" s="32"/>
      <c r="AQ132" s="32"/>
      <c r="AR132" s="32"/>
      <c r="AS132" s="32"/>
      <c r="AX132" s="450"/>
      <c r="AY132" s="32"/>
      <c r="AZ132" s="32"/>
      <c r="BB132" s="31"/>
      <c r="BC132" s="31"/>
      <c r="BD132" s="31"/>
      <c r="BE132" s="31"/>
      <c r="BI132" s="447"/>
      <c r="BL132" s="31"/>
    </row>
    <row r="133" spans="1:130" ht="13.5" hidden="1" x14ac:dyDescent="0.25">
      <c r="A133" s="375"/>
      <c r="B133" s="375"/>
      <c r="C133" s="379"/>
      <c r="D133" s="379"/>
      <c r="E133" s="379"/>
      <c r="F133" s="379"/>
      <c r="G133" s="379"/>
      <c r="H133" s="379"/>
      <c r="I133" s="379"/>
      <c r="J133" s="379"/>
      <c r="K133" s="375"/>
      <c r="L133" s="381"/>
      <c r="M133" s="379"/>
      <c r="O133" s="405"/>
      <c r="U133" s="450">
        <f>U131+16</f>
        <v>17</v>
      </c>
      <c r="V133" s="450" t="str">
        <f t="shared" si="34"/>
        <v>UE065Y</v>
      </c>
      <c r="W133" s="450">
        <f t="shared" si="35"/>
        <v>1</v>
      </c>
      <c r="X133" s="450">
        <f t="shared" si="36"/>
        <v>2</v>
      </c>
      <c r="Y133" s="496">
        <f t="shared" si="37"/>
        <v>40</v>
      </c>
      <c r="Z133" s="481" t="str">
        <f t="shared" si="38"/>
        <v/>
      </c>
      <c r="AA133" s="481" t="str">
        <f t="shared" si="38"/>
        <v/>
      </c>
      <c r="AB133" s="481" t="str">
        <f t="shared" si="38"/>
        <v/>
      </c>
      <c r="AC133" s="450">
        <f t="shared" ref="AC133:AC138" si="39">U133</f>
        <v>17</v>
      </c>
      <c r="AD133" s="32"/>
      <c r="AE133" s="32"/>
      <c r="AF133" s="32"/>
      <c r="AG133" s="32"/>
      <c r="AH133" s="32"/>
      <c r="AI133" s="32"/>
      <c r="AJ133" s="450"/>
      <c r="AM133" s="32"/>
      <c r="AN133" s="32"/>
      <c r="AO133" s="450"/>
      <c r="AP133" s="450" t="s">
        <v>617</v>
      </c>
      <c r="AQ133" s="450" t="s">
        <v>616</v>
      </c>
      <c r="AR133" s="450" t="s">
        <v>615</v>
      </c>
      <c r="AS133" s="450" t="s">
        <v>614</v>
      </c>
      <c r="AT133" s="450" t="s">
        <v>613</v>
      </c>
      <c r="AU133" s="450" t="s">
        <v>612</v>
      </c>
      <c r="AV133" s="450" t="s">
        <v>611</v>
      </c>
      <c r="AW133" s="45" t="s">
        <v>860</v>
      </c>
      <c r="AX133" s="450">
        <f>HLOOKUP($D$98,$AP$133:$AV$181,AX131,0)</f>
        <v>1</v>
      </c>
      <c r="AY133" s="32"/>
      <c r="AZ133" s="32"/>
      <c r="BA133" s="450"/>
      <c r="BB133" s="447" t="str">
        <f>BJ142</f>
        <v>Disposable cylinder (humiSteam only)</v>
      </c>
      <c r="BC133" s="447" t="str">
        <f>BJ143</f>
        <v>Cleanable cylinder (humiSteam only)</v>
      </c>
      <c r="BD133" s="447" t="str">
        <f>BJ144</f>
        <v>heaterSteam process</v>
      </c>
      <c r="BE133" s="447" t="str">
        <f>BJ145</f>
        <v>heaterSteam Titanium</v>
      </c>
      <c r="BF133" s="447" t="str">
        <f>BJ146</f>
        <v>Pump 50 hz (gaSteam only)</v>
      </c>
      <c r="BG133" s="31" t="str">
        <f>BJ147</f>
        <v>Pump 60 Hz (USA Market) (gaSteam only)</v>
      </c>
      <c r="BH133" s="445" t="s">
        <v>625</v>
      </c>
      <c r="BI133" s="447">
        <f>HLOOKUP($D$103,$BA$133:$BG$181,BI131,0)</f>
        <v>1</v>
      </c>
      <c r="BN133" s="445" t="s">
        <v>630</v>
      </c>
      <c r="BP133" s="445" t="s">
        <v>631</v>
      </c>
      <c r="DZ133" s="449"/>
    </row>
    <row r="134" spans="1:130" ht="14.25" hidden="1" thickBot="1" x14ac:dyDescent="0.3">
      <c r="A134" s="376"/>
      <c r="B134" s="375"/>
      <c r="C134" s="398" t="b">
        <v>1</v>
      </c>
      <c r="D134" s="546" t="str">
        <f>LINGUA!C551</f>
        <v>Choice of steam distributor by the user (not automatically by the tool)</v>
      </c>
      <c r="E134" s="547"/>
      <c r="F134" s="547"/>
      <c r="G134" s="547"/>
      <c r="H134" s="548"/>
      <c r="I134" s="549" t="str">
        <f>IF(G115=O131,LINGUA!C560,LINGUA!C559)</f>
        <v>Chosen by the tool</v>
      </c>
      <c r="J134" s="549"/>
      <c r="K134" s="375"/>
      <c r="L134" s="379"/>
      <c r="M134" s="379"/>
      <c r="O134" s="405"/>
      <c r="U134" s="450">
        <f>U133+16</f>
        <v>33</v>
      </c>
      <c r="V134" s="450" t="str">
        <f t="shared" si="34"/>
        <v>UR080H</v>
      </c>
      <c r="W134" s="450">
        <f t="shared" si="35"/>
        <v>1</v>
      </c>
      <c r="X134" s="450">
        <f t="shared" si="36"/>
        <v>2</v>
      </c>
      <c r="Y134" s="496">
        <f t="shared" si="37"/>
        <v>40</v>
      </c>
      <c r="Z134" s="481">
        <f t="shared" si="38"/>
        <v>1</v>
      </c>
      <c r="AA134" s="481">
        <f t="shared" si="38"/>
        <v>2</v>
      </c>
      <c r="AB134" s="481">
        <f t="shared" si="38"/>
        <v>40</v>
      </c>
      <c r="AC134" s="450">
        <f t="shared" si="39"/>
        <v>33</v>
      </c>
      <c r="AD134" s="32"/>
      <c r="AE134" s="32"/>
      <c r="AF134" s="32"/>
      <c r="AG134" s="32"/>
      <c r="AH134" s="32"/>
      <c r="AI134" s="450" t="s">
        <v>1823</v>
      </c>
      <c r="AJ134" s="497">
        <v>1</v>
      </c>
      <c r="AK134" s="45" t="s">
        <v>189</v>
      </c>
      <c r="AM134" s="32"/>
      <c r="AN134" s="731" t="s">
        <v>607</v>
      </c>
      <c r="AO134" s="497">
        <v>1</v>
      </c>
      <c r="AP134" s="450">
        <v>1</v>
      </c>
      <c r="AQ134" s="450">
        <v>1</v>
      </c>
      <c r="AR134" s="450"/>
      <c r="AS134" s="450"/>
      <c r="AT134" s="450"/>
      <c r="AU134" s="450"/>
      <c r="AV134" s="450"/>
      <c r="AW134" s="45">
        <v>1.5</v>
      </c>
      <c r="AX134" s="493" t="s">
        <v>629</v>
      </c>
      <c r="AY134" s="32"/>
      <c r="AZ134" s="731" t="s">
        <v>607</v>
      </c>
      <c r="BA134" s="497">
        <v>1</v>
      </c>
      <c r="BB134" s="447">
        <v>1</v>
      </c>
      <c r="BC134" s="447">
        <v>1</v>
      </c>
      <c r="BD134" s="447"/>
      <c r="BE134" s="447"/>
      <c r="BF134" s="447"/>
      <c r="BG134" s="447"/>
      <c r="BL134" s="447" t="str">
        <f>HLOOKUP(D98,AP133:AV182,50,0)</f>
        <v>L</v>
      </c>
      <c r="BN134" s="447" t="str">
        <f>CONCATENATE(BL131&amp;BL134&amp;BL136)</f>
        <v>UR080HL103</v>
      </c>
      <c r="BP134" s="447" t="str">
        <f>CONCATENATE(BL131&amp;BL134&amp;BP136&amp;BP135)</f>
        <v>UR080HL10S</v>
      </c>
      <c r="DZ134" s="449"/>
    </row>
    <row r="135" spans="1:130" ht="14.25" hidden="1" thickTop="1" x14ac:dyDescent="0.25">
      <c r="A135" s="375"/>
      <c r="B135" s="375"/>
      <c r="C135" s="375"/>
      <c r="D135" s="550"/>
      <c r="E135" s="551"/>
      <c r="F135" s="551"/>
      <c r="G135" s="551"/>
      <c r="H135" s="551"/>
      <c r="I135" s="551"/>
      <c r="J135" s="552"/>
      <c r="K135" s="375"/>
      <c r="L135" s="381"/>
      <c r="M135" s="379"/>
      <c r="O135" s="405"/>
      <c r="U135" s="450">
        <f>U134+16</f>
        <v>49</v>
      </c>
      <c r="V135" s="450" t="str">
        <f t="shared" si="34"/>
        <v>UG090H</v>
      </c>
      <c r="W135" s="450">
        <f t="shared" si="35"/>
        <v>1</v>
      </c>
      <c r="X135" s="450">
        <f t="shared" si="36"/>
        <v>2</v>
      </c>
      <c r="Y135" s="496">
        <f t="shared" si="37"/>
        <v>40</v>
      </c>
      <c r="Z135" s="481" t="str">
        <f t="shared" si="38"/>
        <v/>
      </c>
      <c r="AA135" s="481" t="str">
        <f t="shared" si="38"/>
        <v/>
      </c>
      <c r="AB135" s="481" t="str">
        <f t="shared" si="38"/>
        <v/>
      </c>
      <c r="AC135" s="450">
        <f t="shared" si="39"/>
        <v>49</v>
      </c>
      <c r="AD135" s="32"/>
      <c r="AE135" s="32"/>
      <c r="AF135" s="32"/>
      <c r="AG135" s="32"/>
      <c r="AH135" s="32"/>
      <c r="AI135" s="450" t="s">
        <v>1824</v>
      </c>
      <c r="AJ135" s="497">
        <v>2</v>
      </c>
      <c r="AK135" s="45" t="s">
        <v>190</v>
      </c>
      <c r="AM135" s="32"/>
      <c r="AN135" s="732"/>
      <c r="AO135" s="497">
        <v>2</v>
      </c>
      <c r="AP135" s="450">
        <v>1</v>
      </c>
      <c r="AQ135" s="450">
        <v>1</v>
      </c>
      <c r="AR135" s="450">
        <v>1</v>
      </c>
      <c r="AS135" s="450">
        <v>1</v>
      </c>
      <c r="AT135" s="450">
        <v>1</v>
      </c>
      <c r="AU135" s="450">
        <v>1</v>
      </c>
      <c r="AV135" s="450"/>
      <c r="AW135" s="45">
        <v>3</v>
      </c>
      <c r="AX135" s="493" t="s">
        <v>2725</v>
      </c>
      <c r="AY135" s="32"/>
      <c r="AZ135" s="732"/>
      <c r="BA135" s="497">
        <v>2</v>
      </c>
      <c r="BB135" s="447">
        <v>1</v>
      </c>
      <c r="BC135" s="447">
        <v>1</v>
      </c>
      <c r="BD135" s="447"/>
      <c r="BE135" s="447"/>
      <c r="BF135" s="447"/>
      <c r="BG135" s="447"/>
      <c r="BP135" s="445" t="s">
        <v>632</v>
      </c>
      <c r="DZ135" s="449"/>
    </row>
    <row r="136" spans="1:130" ht="13.5" hidden="1" x14ac:dyDescent="0.25">
      <c r="A136" s="375"/>
      <c r="B136" s="375"/>
      <c r="C136" s="375"/>
      <c r="D136" s="553" t="str">
        <f>IF(G115=O131,LINGUA!C552,"")</f>
        <v/>
      </c>
      <c r="E136" s="554"/>
      <c r="F136" s="554"/>
      <c r="G136" s="554" t="str">
        <f>IF(G115=O131,LINGUA!B57,"")</f>
        <v/>
      </c>
      <c r="H136" s="554"/>
      <c r="I136" s="554"/>
      <c r="J136" s="555"/>
      <c r="K136" s="375"/>
      <c r="L136" s="378"/>
      <c r="M136" s="378"/>
      <c r="O136" s="405"/>
      <c r="U136" s="450">
        <f>U135+16</f>
        <v>65</v>
      </c>
      <c r="V136" s="450" t="str">
        <f t="shared" si="34"/>
        <v/>
      </c>
      <c r="W136" s="450" t="e">
        <f t="shared" si="35"/>
        <v>#VALUE!</v>
      </c>
      <c r="X136" s="450" t="e">
        <f t="shared" si="36"/>
        <v>#VALUE!</v>
      </c>
      <c r="Y136" s="496" t="e">
        <f t="shared" si="37"/>
        <v>#VALUE!</v>
      </c>
      <c r="Z136" s="481" t="str">
        <f t="shared" si="38"/>
        <v/>
      </c>
      <c r="AA136" s="481" t="str">
        <f t="shared" si="38"/>
        <v/>
      </c>
      <c r="AB136" s="481" t="str">
        <f t="shared" si="38"/>
        <v/>
      </c>
      <c r="AC136" s="450">
        <f t="shared" si="39"/>
        <v>65</v>
      </c>
      <c r="AD136" s="32"/>
      <c r="AE136" s="32"/>
      <c r="AF136" s="32"/>
      <c r="AG136" s="32"/>
      <c r="AH136" s="32"/>
      <c r="AI136" s="450" t="s">
        <v>1825</v>
      </c>
      <c r="AJ136" s="497">
        <v>3</v>
      </c>
      <c r="AK136" s="45" t="s">
        <v>191</v>
      </c>
      <c r="AM136" s="32"/>
      <c r="AN136" s="732"/>
      <c r="AO136" s="497">
        <v>3</v>
      </c>
      <c r="AP136" s="450">
        <v>1</v>
      </c>
      <c r="AQ136" s="450">
        <v>1</v>
      </c>
      <c r="AR136" s="450">
        <v>1</v>
      </c>
      <c r="AS136" s="450">
        <v>1</v>
      </c>
      <c r="AT136" s="450">
        <v>1</v>
      </c>
      <c r="AU136" s="450">
        <v>1</v>
      </c>
      <c r="AV136" s="450">
        <v>1</v>
      </c>
      <c r="AW136" s="45">
        <v>5</v>
      </c>
      <c r="AX136" s="493" t="s">
        <v>2863</v>
      </c>
      <c r="AY136" s="32"/>
      <c r="AZ136" s="732"/>
      <c r="BA136" s="497">
        <v>3</v>
      </c>
      <c r="BB136" s="447">
        <v>1</v>
      </c>
      <c r="BC136" s="447">
        <v>1</v>
      </c>
      <c r="BD136" s="447"/>
      <c r="BE136" s="447"/>
      <c r="BF136" s="447"/>
      <c r="BG136" s="447"/>
      <c r="BL136" s="447" t="str">
        <f>HLOOKUP(D103,BA133:BG182,50,0)</f>
        <v>103</v>
      </c>
      <c r="BP136" s="445" t="str">
        <f>MID(BL136,1,2)</f>
        <v>10</v>
      </c>
      <c r="DZ136" s="449"/>
    </row>
    <row r="137" spans="1:130" ht="13.5" hidden="1" x14ac:dyDescent="0.25">
      <c r="A137" s="375"/>
      <c r="B137" s="375"/>
      <c r="C137" s="375"/>
      <c r="D137" s="720" t="s">
        <v>1220</v>
      </c>
      <c r="E137" s="721"/>
      <c r="F137" s="554"/>
      <c r="G137" s="726">
        <v>4</v>
      </c>
      <c r="H137" s="727"/>
      <c r="I137" s="727"/>
      <c r="J137" s="728"/>
      <c r="K137" s="375"/>
      <c r="L137" s="378"/>
      <c r="M137" s="378"/>
      <c r="O137" s="405"/>
      <c r="U137" s="450">
        <f>U136+16</f>
        <v>81</v>
      </c>
      <c r="V137" s="450" t="str">
        <f t="shared" si="34"/>
        <v/>
      </c>
      <c r="W137" s="450" t="e">
        <f t="shared" si="35"/>
        <v>#VALUE!</v>
      </c>
      <c r="X137" s="450" t="e">
        <f t="shared" si="36"/>
        <v>#VALUE!</v>
      </c>
      <c r="Y137" s="496" t="e">
        <f t="shared" si="37"/>
        <v>#VALUE!</v>
      </c>
      <c r="Z137" s="481" t="str">
        <f t="shared" si="38"/>
        <v/>
      </c>
      <c r="AA137" s="481" t="str">
        <f t="shared" si="38"/>
        <v/>
      </c>
      <c r="AB137" s="481" t="str">
        <f t="shared" si="38"/>
        <v/>
      </c>
      <c r="AC137" s="450">
        <f t="shared" si="39"/>
        <v>81</v>
      </c>
      <c r="AD137" s="32"/>
      <c r="AE137" s="32"/>
      <c r="AF137" s="32"/>
      <c r="AG137" s="32"/>
      <c r="AH137" s="32"/>
      <c r="AI137" s="450" t="s">
        <v>1826</v>
      </c>
      <c r="AJ137" s="497">
        <v>4</v>
      </c>
      <c r="AK137" s="45" t="s">
        <v>192</v>
      </c>
      <c r="AM137" s="32"/>
      <c r="AN137" s="732"/>
      <c r="AO137" s="497">
        <v>4</v>
      </c>
      <c r="AP137" s="450"/>
      <c r="AQ137" s="450"/>
      <c r="AR137" s="450">
        <v>1</v>
      </c>
      <c r="AS137" s="450">
        <v>1</v>
      </c>
      <c r="AT137" s="450">
        <v>1</v>
      </c>
      <c r="AU137" s="450">
        <v>1</v>
      </c>
      <c r="AV137" s="450">
        <v>1</v>
      </c>
      <c r="AW137" s="45">
        <v>8</v>
      </c>
      <c r="AX137" s="493" t="s">
        <v>2864</v>
      </c>
      <c r="AY137" s="32"/>
      <c r="AZ137" s="732"/>
      <c r="BA137" s="497">
        <v>4</v>
      </c>
      <c r="BB137" s="447">
        <v>1</v>
      </c>
      <c r="BC137" s="447">
        <v>1</v>
      </c>
      <c r="BD137" s="447"/>
      <c r="BE137" s="447"/>
      <c r="BF137" s="447"/>
      <c r="BG137" s="447"/>
      <c r="DZ137" s="449"/>
    </row>
    <row r="138" spans="1:130" ht="13.5" hidden="1" x14ac:dyDescent="0.25">
      <c r="A138" s="375"/>
      <c r="B138" s="375"/>
      <c r="C138" s="375"/>
      <c r="D138" s="553"/>
      <c r="E138" s="549"/>
      <c r="F138" s="549"/>
      <c r="G138" s="549"/>
      <c r="H138" s="554"/>
      <c r="I138" s="554"/>
      <c r="J138" s="555"/>
      <c r="K138" s="379"/>
      <c r="L138" s="379"/>
      <c r="M138" s="379"/>
      <c r="N138" s="380"/>
      <c r="O138" s="404"/>
      <c r="U138" s="450">
        <f>U137+16</f>
        <v>97</v>
      </c>
      <c r="V138" s="450" t="str">
        <f t="shared" si="34"/>
        <v/>
      </c>
      <c r="W138" s="450" t="e">
        <f>VALUE(MID($AB$127,U138+10,2))</f>
        <v>#VALUE!</v>
      </c>
      <c r="X138" s="450" t="e">
        <f>VALUE(MID($AB$127,U138+12,2))</f>
        <v>#VALUE!</v>
      </c>
      <c r="Y138" s="496" t="e">
        <f>VALUE(MID($AB$127,U138+14,2))</f>
        <v>#VALUE!</v>
      </c>
      <c r="Z138" s="481" t="str">
        <f t="shared" si="38"/>
        <v/>
      </c>
      <c r="AA138" s="481" t="str">
        <f t="shared" si="38"/>
        <v/>
      </c>
      <c r="AB138" s="481" t="str">
        <f t="shared" si="38"/>
        <v/>
      </c>
      <c r="AC138" s="450">
        <f t="shared" si="39"/>
        <v>97</v>
      </c>
      <c r="AD138" s="32"/>
      <c r="AE138" s="32"/>
      <c r="AF138" s="32"/>
      <c r="AG138" s="32"/>
      <c r="AH138" s="32"/>
      <c r="AI138" s="450" t="s">
        <v>1827</v>
      </c>
      <c r="AJ138" s="497">
        <v>5</v>
      </c>
      <c r="AK138" s="45" t="s">
        <v>193</v>
      </c>
      <c r="AM138" s="32"/>
      <c r="AN138" s="732"/>
      <c r="AO138" s="497">
        <v>5</v>
      </c>
      <c r="AP138" s="450">
        <v>1</v>
      </c>
      <c r="AQ138" s="450">
        <v>1</v>
      </c>
      <c r="AR138" s="450"/>
      <c r="AS138" s="450"/>
      <c r="AT138" s="450"/>
      <c r="AU138" s="450"/>
      <c r="AV138" s="450"/>
      <c r="AW138" s="45">
        <v>9</v>
      </c>
      <c r="AX138" s="493" t="s">
        <v>2865</v>
      </c>
      <c r="AY138" s="32"/>
      <c r="AZ138" s="732"/>
      <c r="BA138" s="497">
        <v>5</v>
      </c>
      <c r="BB138" s="447">
        <v>1</v>
      </c>
      <c r="BC138" s="447">
        <v>1</v>
      </c>
      <c r="BD138" s="447"/>
      <c r="BE138" s="447"/>
      <c r="BF138" s="447"/>
      <c r="BG138" s="447"/>
      <c r="DZ138" s="449"/>
    </row>
    <row r="139" spans="1:130" hidden="1" x14ac:dyDescent="0.2">
      <c r="A139" s="375"/>
      <c r="B139" s="375"/>
      <c r="C139" s="375"/>
      <c r="D139" s="553" t="str">
        <f>IF(G115=O131,LINGUA!C61,"")</f>
        <v/>
      </c>
      <c r="E139" s="549"/>
      <c r="F139" s="554"/>
      <c r="G139" s="554" t="str">
        <f>IF(G115=O131,LINGUA!B50,"")</f>
        <v/>
      </c>
      <c r="H139" s="554"/>
      <c r="I139" s="554"/>
      <c r="J139" s="555"/>
      <c r="K139" s="375"/>
      <c r="L139" s="375"/>
      <c r="M139" s="375"/>
      <c r="N139" s="380"/>
      <c r="O139" s="404"/>
      <c r="U139" s="32"/>
      <c r="V139" s="32"/>
      <c r="W139" s="32"/>
      <c r="X139" s="32"/>
      <c r="Y139" s="32"/>
      <c r="Z139" s="450">
        <f>SUM(Z131:Z138)</f>
        <v>1</v>
      </c>
      <c r="AA139" s="450">
        <f>SUM(AA131:AA138)</f>
        <v>2</v>
      </c>
      <c r="AB139" s="450">
        <f>SUM(AB131:AB138)</f>
        <v>40</v>
      </c>
      <c r="AC139" s="32"/>
      <c r="AD139" s="32"/>
      <c r="AE139" s="32"/>
      <c r="AF139" s="32"/>
      <c r="AG139" s="32"/>
      <c r="AH139" s="32"/>
      <c r="AI139" s="450" t="s">
        <v>1828</v>
      </c>
      <c r="AJ139" s="497">
        <v>6</v>
      </c>
      <c r="AK139" s="45" t="s">
        <v>194</v>
      </c>
      <c r="AM139" s="32"/>
      <c r="AN139" s="732"/>
      <c r="AO139" s="497">
        <v>6</v>
      </c>
      <c r="AP139" s="450"/>
      <c r="AQ139" s="450"/>
      <c r="AR139" s="450">
        <v>1</v>
      </c>
      <c r="AS139" s="450">
        <v>1</v>
      </c>
      <c r="AT139" s="450">
        <v>1</v>
      </c>
      <c r="AU139" s="450">
        <v>1</v>
      </c>
      <c r="AV139" s="450">
        <v>1</v>
      </c>
      <c r="AW139" s="45">
        <v>10</v>
      </c>
      <c r="AX139" s="493" t="s">
        <v>2866</v>
      </c>
      <c r="AY139" s="32"/>
      <c r="AZ139" s="732"/>
      <c r="BA139" s="497">
        <v>6</v>
      </c>
      <c r="BB139" s="447">
        <v>1</v>
      </c>
      <c r="BC139" s="447">
        <v>1</v>
      </c>
      <c r="BD139" s="447"/>
      <c r="BE139" s="447"/>
      <c r="BF139" s="447"/>
      <c r="BG139" s="447"/>
      <c r="DZ139" s="449"/>
    </row>
    <row r="140" spans="1:130" hidden="1" x14ac:dyDescent="0.2">
      <c r="A140" s="375"/>
      <c r="B140" s="379"/>
      <c r="C140" s="375"/>
      <c r="D140" s="700">
        <f>'Steam absoprtion distance '!M18</f>
        <v>0.61</v>
      </c>
      <c r="E140" s="701"/>
      <c r="F140" s="554"/>
      <c r="G140" s="685">
        <f>'Steam absoprtion distance '!M15</f>
        <v>2.1043771043771042</v>
      </c>
      <c r="H140" s="686"/>
      <c r="I140" s="686"/>
      <c r="J140" s="687"/>
      <c r="K140" s="375"/>
      <c r="L140" s="375"/>
      <c r="M140" s="375"/>
      <c r="N140" s="380"/>
      <c r="O140" s="404"/>
      <c r="U140" s="32"/>
      <c r="V140" s="32"/>
      <c r="W140" s="32"/>
      <c r="X140" s="32"/>
      <c r="Y140" s="32"/>
      <c r="Z140" s="32"/>
      <c r="AA140" s="32"/>
      <c r="AB140" s="32"/>
      <c r="AC140" s="32"/>
      <c r="AD140" s="32"/>
      <c r="AE140" s="32"/>
      <c r="AF140" s="32"/>
      <c r="AG140" s="32"/>
      <c r="AH140" s="32"/>
      <c r="AI140" s="450" t="s">
        <v>598</v>
      </c>
      <c r="AJ140" s="497">
        <v>7</v>
      </c>
      <c r="AK140" s="45" t="s">
        <v>195</v>
      </c>
      <c r="AM140" s="32"/>
      <c r="AN140" s="732"/>
      <c r="AO140" s="497">
        <v>7</v>
      </c>
      <c r="AP140" s="450"/>
      <c r="AQ140" s="450"/>
      <c r="AR140" s="450">
        <v>1</v>
      </c>
      <c r="AS140" s="450">
        <v>1</v>
      </c>
      <c r="AT140" s="450">
        <v>1</v>
      </c>
      <c r="AU140" s="450">
        <v>1</v>
      </c>
      <c r="AV140" s="450">
        <v>1</v>
      </c>
      <c r="AW140" s="45">
        <v>15</v>
      </c>
      <c r="AX140" s="493" t="s">
        <v>2867</v>
      </c>
      <c r="AY140" s="32"/>
      <c r="AZ140" s="732"/>
      <c r="BA140" s="497">
        <v>7</v>
      </c>
      <c r="BB140" s="447">
        <v>1</v>
      </c>
      <c r="BC140" s="447">
        <v>1</v>
      </c>
      <c r="BD140" s="447"/>
      <c r="BE140" s="447"/>
      <c r="BF140" s="447"/>
      <c r="BG140" s="447"/>
      <c r="DZ140" s="449"/>
    </row>
    <row r="141" spans="1:130" hidden="1" x14ac:dyDescent="0.2">
      <c r="A141" s="375"/>
      <c r="B141" s="375"/>
      <c r="C141" s="375"/>
      <c r="D141" s="553"/>
      <c r="E141" s="554"/>
      <c r="F141" s="554"/>
      <c r="G141" s="554"/>
      <c r="H141" s="554"/>
      <c r="I141" s="554"/>
      <c r="J141" s="555"/>
      <c r="K141" s="375"/>
      <c r="L141" s="375"/>
      <c r="M141" s="375"/>
      <c r="N141" s="380"/>
      <c r="O141" s="404"/>
      <c r="U141" s="32"/>
      <c r="V141" s="32"/>
      <c r="W141" s="32"/>
      <c r="X141" s="32"/>
      <c r="Y141" s="32"/>
      <c r="Z141" s="32"/>
      <c r="AA141" s="32"/>
      <c r="AB141" s="32"/>
      <c r="AC141" s="32"/>
      <c r="AD141" s="32"/>
      <c r="AE141" s="32"/>
      <c r="AF141" s="32"/>
      <c r="AG141" s="32"/>
      <c r="AH141" s="32"/>
      <c r="AI141" s="450" t="s">
        <v>1829</v>
      </c>
      <c r="AJ141" s="497">
        <v>8</v>
      </c>
      <c r="AK141" s="45" t="s">
        <v>196</v>
      </c>
      <c r="AL141" s="32"/>
      <c r="AM141" s="32"/>
      <c r="AN141" s="732"/>
      <c r="AO141" s="497">
        <v>8</v>
      </c>
      <c r="AP141" s="450"/>
      <c r="AQ141" s="450"/>
      <c r="AR141" s="450"/>
      <c r="AS141" s="450"/>
      <c r="AT141" s="450">
        <v>1</v>
      </c>
      <c r="AU141" s="450">
        <v>1</v>
      </c>
      <c r="AV141" s="450">
        <v>1</v>
      </c>
      <c r="AW141" s="45">
        <v>18</v>
      </c>
      <c r="AX141" s="493" t="s">
        <v>2868</v>
      </c>
      <c r="AY141" s="32"/>
      <c r="AZ141" s="732"/>
      <c r="BA141" s="497">
        <v>8</v>
      </c>
      <c r="BB141" s="447">
        <v>1</v>
      </c>
      <c r="BC141" s="447">
        <v>1</v>
      </c>
      <c r="BD141" s="447"/>
      <c r="BE141" s="447"/>
      <c r="BF141" s="447"/>
      <c r="BG141" s="447"/>
      <c r="DZ141" s="449"/>
    </row>
    <row r="142" spans="1:130" hidden="1" x14ac:dyDescent="0.2">
      <c r="A142" s="375"/>
      <c r="B142" s="375"/>
      <c r="C142" s="375"/>
      <c r="D142" s="553" t="str">
        <f>IF(G115=O131,LINGUA!C59,"")</f>
        <v/>
      </c>
      <c r="E142" s="554"/>
      <c r="F142" s="554"/>
      <c r="G142" s="554" t="str">
        <f>IF(G115=O131,LINGUA!B60,"")</f>
        <v/>
      </c>
      <c r="H142" s="554"/>
      <c r="I142" s="554"/>
      <c r="J142" s="555"/>
      <c r="K142" s="375"/>
      <c r="L142" s="375"/>
      <c r="M142" s="375"/>
      <c r="N142" s="380"/>
      <c r="O142" s="404"/>
      <c r="U142" s="498" t="s">
        <v>2335</v>
      </c>
      <c r="X142" s="32"/>
      <c r="Y142" s="32"/>
      <c r="AA142" s="446" t="s">
        <v>2068</v>
      </c>
      <c r="AB142" s="499"/>
      <c r="AC142" s="499"/>
      <c r="AD142" s="32"/>
      <c r="AE142" s="32"/>
      <c r="AF142" s="32"/>
      <c r="AG142" s="32"/>
      <c r="AH142" s="32"/>
      <c r="AI142" s="450" t="s">
        <v>1830</v>
      </c>
      <c r="AJ142" s="497">
        <v>9</v>
      </c>
      <c r="AK142" s="45" t="s">
        <v>197</v>
      </c>
      <c r="AL142" s="32"/>
      <c r="AM142" s="32"/>
      <c r="AN142" s="732"/>
      <c r="AO142" s="497">
        <v>9</v>
      </c>
      <c r="AP142" s="450"/>
      <c r="AQ142" s="450"/>
      <c r="AR142" s="450">
        <v>1</v>
      </c>
      <c r="AS142" s="450">
        <v>1</v>
      </c>
      <c r="AT142" s="450">
        <v>1</v>
      </c>
      <c r="AU142" s="450">
        <v>1</v>
      </c>
      <c r="AV142" s="450">
        <v>1</v>
      </c>
      <c r="AW142" s="45">
        <v>25</v>
      </c>
      <c r="AX142" s="493" t="s">
        <v>2869</v>
      </c>
      <c r="AY142" s="32"/>
      <c r="AZ142" s="732"/>
      <c r="BA142" s="497">
        <v>9</v>
      </c>
      <c r="BB142" s="447">
        <v>1</v>
      </c>
      <c r="BC142" s="447">
        <v>1</v>
      </c>
      <c r="BD142" s="447"/>
      <c r="BE142" s="447"/>
      <c r="BF142" s="447"/>
      <c r="BG142" s="447"/>
      <c r="BJ142" s="31" t="str">
        <f>LINGUA!C67</f>
        <v>Disposable cylinder (humiSteam only)</v>
      </c>
      <c r="DZ142" s="449"/>
    </row>
    <row r="143" spans="1:130" hidden="1" x14ac:dyDescent="0.2">
      <c r="A143" s="375"/>
      <c r="B143" s="375"/>
      <c r="C143" s="375"/>
      <c r="D143" s="722">
        <f>'Steam absoprtion distance '!M9</f>
        <v>25</v>
      </c>
      <c r="E143" s="723"/>
      <c r="F143" s="554"/>
      <c r="G143" s="724">
        <f>'Steam absoprtion distance '!M12</f>
        <v>834</v>
      </c>
      <c r="H143" s="723"/>
      <c r="I143" s="723"/>
      <c r="J143" s="725"/>
      <c r="K143" s="375"/>
      <c r="L143" s="375"/>
      <c r="M143" s="375"/>
      <c r="N143" s="380"/>
      <c r="O143" s="404"/>
      <c r="U143" s="450" t="s">
        <v>960</v>
      </c>
      <c r="V143" s="450" t="s">
        <v>934</v>
      </c>
      <c r="W143" s="450" t="s">
        <v>2334</v>
      </c>
      <c r="X143" s="450" t="s">
        <v>1212</v>
      </c>
      <c r="Y143" s="32"/>
      <c r="Z143" s="499"/>
      <c r="AA143" s="499"/>
      <c r="AB143" s="499"/>
      <c r="AC143" s="499"/>
      <c r="AD143" s="32"/>
      <c r="AE143" s="32"/>
      <c r="AF143" s="32"/>
      <c r="AG143" s="32"/>
      <c r="AH143" s="32"/>
      <c r="AI143" s="450" t="s">
        <v>1831</v>
      </c>
      <c r="AJ143" s="497">
        <v>10</v>
      </c>
      <c r="AK143" s="45" t="s">
        <v>198</v>
      </c>
      <c r="AL143" s="32"/>
      <c r="AM143" s="32"/>
      <c r="AN143" s="732"/>
      <c r="AO143" s="497">
        <v>10</v>
      </c>
      <c r="AP143" s="450"/>
      <c r="AQ143" s="450"/>
      <c r="AR143" s="450">
        <v>1</v>
      </c>
      <c r="AS143" s="450">
        <v>1</v>
      </c>
      <c r="AT143" s="450">
        <v>1</v>
      </c>
      <c r="AU143" s="450">
        <v>1</v>
      </c>
      <c r="AV143" s="450">
        <v>1</v>
      </c>
      <c r="AW143" s="45">
        <v>35</v>
      </c>
      <c r="AX143" s="500" t="s">
        <v>2870</v>
      </c>
      <c r="AZ143" s="732"/>
      <c r="BA143" s="497">
        <v>10</v>
      </c>
      <c r="BB143" s="447">
        <v>1</v>
      </c>
      <c r="BC143" s="447">
        <v>1</v>
      </c>
      <c r="BD143" s="447"/>
      <c r="BE143" s="447"/>
      <c r="BF143" s="447"/>
      <c r="BG143" s="447"/>
      <c r="BJ143" s="31" t="str">
        <f>LINGUA!C68</f>
        <v>Cleanable cylinder (humiSteam only)</v>
      </c>
      <c r="DZ143" s="449"/>
    </row>
    <row r="144" spans="1:130" ht="13.5" hidden="1" thickBot="1" x14ac:dyDescent="0.25">
      <c r="A144" s="375"/>
      <c r="B144" s="375"/>
      <c r="C144" s="375"/>
      <c r="D144" s="553"/>
      <c r="E144" s="554"/>
      <c r="F144" s="554"/>
      <c r="G144" s="554"/>
      <c r="H144" s="554"/>
      <c r="I144" s="554"/>
      <c r="J144" s="555"/>
      <c r="K144" s="375"/>
      <c r="L144" s="375"/>
      <c r="M144" s="375"/>
      <c r="N144" s="380"/>
      <c r="O144" s="380"/>
      <c r="U144" s="450">
        <v>1</v>
      </c>
      <c r="V144" s="450" t="s">
        <v>2336</v>
      </c>
      <c r="W144" s="450">
        <v>22</v>
      </c>
      <c r="X144" s="450" t="str">
        <f>IF(W144=$AB$139,U144,"")</f>
        <v/>
      </c>
      <c r="Y144" s="32"/>
      <c r="Z144" s="499"/>
      <c r="AA144" s="695" t="str">
        <f>LINGUA!B49</f>
        <v>Humidifier code</v>
      </c>
      <c r="AB144" s="695"/>
      <c r="AC144" s="541" t="str">
        <f>LINGUA!B26</f>
        <v>Quantity</v>
      </c>
      <c r="AD144" s="32"/>
      <c r="AE144" s="32"/>
      <c r="AF144" s="32"/>
      <c r="AG144" s="32"/>
      <c r="AH144" s="32"/>
      <c r="AI144" s="450" t="s">
        <v>1832</v>
      </c>
      <c r="AJ144" s="497">
        <v>11</v>
      </c>
      <c r="AK144" s="45" t="s">
        <v>199</v>
      </c>
      <c r="AL144" s="32"/>
      <c r="AM144" s="32"/>
      <c r="AN144" s="732"/>
      <c r="AO144" s="497">
        <v>11</v>
      </c>
      <c r="AP144" s="450"/>
      <c r="AQ144" s="450"/>
      <c r="AR144" s="450">
        <v>1</v>
      </c>
      <c r="AS144" s="450">
        <v>1</v>
      </c>
      <c r="AT144" s="450">
        <v>1</v>
      </c>
      <c r="AU144" s="450">
        <v>1</v>
      </c>
      <c r="AV144" s="450">
        <v>1</v>
      </c>
      <c r="AW144" s="45">
        <v>45</v>
      </c>
      <c r="AX144" s="500" t="s">
        <v>2871</v>
      </c>
      <c r="AZ144" s="732"/>
      <c r="BA144" s="497">
        <v>11</v>
      </c>
      <c r="BB144" s="447">
        <v>1</v>
      </c>
      <c r="BC144" s="447">
        <v>1</v>
      </c>
      <c r="BD144" s="447"/>
      <c r="BE144" s="447"/>
      <c r="BF144" s="447"/>
      <c r="BG144" s="447"/>
      <c r="BJ144" s="31" t="str">
        <f>LINGUA!C69</f>
        <v>heaterSteam process</v>
      </c>
      <c r="DZ144" s="449"/>
    </row>
    <row r="145" spans="1:130" hidden="1" x14ac:dyDescent="0.2">
      <c r="A145" s="375"/>
      <c r="B145" s="375"/>
      <c r="C145" s="375"/>
      <c r="D145" s="556" t="str">
        <f>IF(G115=O131,LINGUA!B51,"")</f>
        <v/>
      </c>
      <c r="E145" s="557"/>
      <c r="F145" s="558"/>
      <c r="G145" s="559" t="str">
        <f>IF(G115=O131,LINGUA!B26,"")</f>
        <v/>
      </c>
      <c r="H145" s="557"/>
      <c r="I145" s="557"/>
      <c r="J145" s="560"/>
      <c r="K145" s="375"/>
      <c r="L145" s="375"/>
      <c r="M145" s="375"/>
      <c r="N145" s="380"/>
      <c r="O145" s="380"/>
      <c r="U145" s="450">
        <f>U144+1</f>
        <v>2</v>
      </c>
      <c r="V145" s="450" t="s">
        <v>2337</v>
      </c>
      <c r="W145" s="450">
        <v>30</v>
      </c>
      <c r="X145" s="450" t="str">
        <f>IF(W145=$AB$139,U145,"")</f>
        <v/>
      </c>
      <c r="Y145" s="32"/>
      <c r="Z145" s="499"/>
      <c r="AA145" s="502" t="str">
        <f>IF(V131="","",V131)</f>
        <v>UE065X</v>
      </c>
      <c r="AB145" s="503"/>
      <c r="AC145" s="504">
        <f>IF(AA145="","",W131)</f>
        <v>1</v>
      </c>
      <c r="AD145" s="32"/>
      <c r="AE145" s="32"/>
      <c r="AF145" s="32"/>
      <c r="AG145" s="32"/>
      <c r="AH145" s="32"/>
      <c r="AI145" s="450" t="s">
        <v>1833</v>
      </c>
      <c r="AJ145" s="497">
        <v>12</v>
      </c>
      <c r="AK145" s="45" t="s">
        <v>200</v>
      </c>
      <c r="AL145" s="32"/>
      <c r="AM145" s="32"/>
      <c r="AN145" s="732"/>
      <c r="AO145" s="497">
        <v>12</v>
      </c>
      <c r="AP145" s="450"/>
      <c r="AQ145" s="450"/>
      <c r="AR145" s="450"/>
      <c r="AS145" s="450"/>
      <c r="AT145" s="450">
        <v>1</v>
      </c>
      <c r="AU145" s="450">
        <v>1</v>
      </c>
      <c r="AV145" s="450">
        <v>1</v>
      </c>
      <c r="AW145" s="45">
        <v>65</v>
      </c>
      <c r="AX145" s="500" t="s">
        <v>2872</v>
      </c>
      <c r="AZ145" s="732"/>
      <c r="BA145" s="497">
        <v>12</v>
      </c>
      <c r="BB145" s="447">
        <v>1</v>
      </c>
      <c r="BC145" s="447">
        <v>1</v>
      </c>
      <c r="BD145" s="447"/>
      <c r="BE145" s="447"/>
      <c r="BF145" s="447"/>
      <c r="BG145" s="447"/>
      <c r="BJ145" s="31" t="str">
        <f>LINGUA!C70</f>
        <v>heaterSteam Titanium</v>
      </c>
      <c r="DZ145" s="449"/>
    </row>
    <row r="146" spans="1:130" hidden="1" x14ac:dyDescent="0.2">
      <c r="A146" s="375"/>
      <c r="B146" s="375"/>
      <c r="C146" s="375"/>
      <c r="D146" s="720" t="s">
        <v>847</v>
      </c>
      <c r="E146" s="721"/>
      <c r="F146" s="554"/>
      <c r="G146" s="726">
        <v>1</v>
      </c>
      <c r="H146" s="727"/>
      <c r="I146" s="727"/>
      <c r="J146" s="728"/>
      <c r="K146" s="375"/>
      <c r="L146" s="375"/>
      <c r="M146" s="375"/>
      <c r="N146" s="380"/>
      <c r="O146" s="380"/>
      <c r="U146" s="450">
        <f>U145+1</f>
        <v>3</v>
      </c>
      <c r="V146" s="450" t="s">
        <v>2338</v>
      </c>
      <c r="W146" s="450">
        <v>40</v>
      </c>
      <c r="X146" s="450">
        <f>IF(W146=$AB$139,U146,"")</f>
        <v>3</v>
      </c>
      <c r="Y146" s="32"/>
      <c r="Z146" s="499"/>
      <c r="AA146" s="502" t="str">
        <f t="shared" ref="AA146:AA151" si="40">IF(V133="","",V133)</f>
        <v>UE065Y</v>
      </c>
      <c r="AB146" s="503"/>
      <c r="AC146" s="504">
        <f t="shared" ref="AC146:AC151" si="41">IF(AA146="","",W133)</f>
        <v>1</v>
      </c>
      <c r="AD146" s="32"/>
      <c r="AE146" s="32"/>
      <c r="AF146" s="32"/>
      <c r="AG146" s="32"/>
      <c r="AH146" s="32"/>
      <c r="AI146" s="450" t="s">
        <v>1834</v>
      </c>
      <c r="AJ146" s="497">
        <v>13</v>
      </c>
      <c r="AK146" s="45" t="s">
        <v>201</v>
      </c>
      <c r="AL146" s="32"/>
      <c r="AM146" s="32"/>
      <c r="AN146" s="732"/>
      <c r="AO146" s="497">
        <v>13</v>
      </c>
      <c r="AP146" s="450"/>
      <c r="AQ146" s="450"/>
      <c r="AR146" s="450"/>
      <c r="AS146" s="450"/>
      <c r="AT146" s="450">
        <v>1</v>
      </c>
      <c r="AU146" s="450">
        <v>1</v>
      </c>
      <c r="AV146" s="450">
        <v>1</v>
      </c>
      <c r="AW146" s="45">
        <v>90</v>
      </c>
      <c r="AX146" s="500" t="s">
        <v>2873</v>
      </c>
      <c r="AZ146" s="732"/>
      <c r="BA146" s="497">
        <v>13</v>
      </c>
      <c r="BB146" s="447">
        <v>1</v>
      </c>
      <c r="BC146" s="447">
        <v>1</v>
      </c>
      <c r="BD146" s="447"/>
      <c r="BE146" s="447"/>
      <c r="BF146" s="447"/>
      <c r="BG146" s="447"/>
      <c r="BJ146" s="31" t="str">
        <f>LINGUA!C71</f>
        <v>Pump 50 hz (gaSteam only)</v>
      </c>
      <c r="DZ146" s="449"/>
    </row>
    <row r="147" spans="1:130" hidden="1" x14ac:dyDescent="0.2">
      <c r="A147" s="375"/>
      <c r="B147" s="375"/>
      <c r="C147" s="375"/>
      <c r="D147" s="561" t="str">
        <f>CONCATENATE(CODICI!B30, ": ",CODICI!C30)</f>
        <v>UEKY000000: ‘Y’ connector for steam hoses (from 1x Ø=40 mm to 2x Ø=30 mm)</v>
      </c>
      <c r="E147" s="554"/>
      <c r="F147" s="554"/>
      <c r="G147" s="554"/>
      <c r="H147" s="554"/>
      <c r="I147" s="554"/>
      <c r="J147" s="555"/>
      <c r="K147" s="375"/>
      <c r="L147" s="375"/>
      <c r="M147" s="375"/>
      <c r="N147" s="380"/>
      <c r="O147" s="380"/>
      <c r="U147" s="115"/>
      <c r="V147" s="32"/>
      <c r="W147" s="32"/>
      <c r="X147" s="32"/>
      <c r="Y147" s="32"/>
      <c r="Z147" s="499"/>
      <c r="AA147" s="502" t="str">
        <f t="shared" si="40"/>
        <v>UR080H</v>
      </c>
      <c r="AB147" s="503"/>
      <c r="AC147" s="504">
        <f t="shared" si="41"/>
        <v>1</v>
      </c>
      <c r="AD147" s="32"/>
      <c r="AE147" s="32"/>
      <c r="AF147" s="32"/>
      <c r="AG147" s="32"/>
      <c r="AH147" s="32"/>
      <c r="AI147" s="450" t="s">
        <v>1835</v>
      </c>
      <c r="AJ147" s="497">
        <v>14</v>
      </c>
      <c r="AK147" s="45" t="s">
        <v>202</v>
      </c>
      <c r="AL147" s="32"/>
      <c r="AM147" s="32"/>
      <c r="AN147" s="733"/>
      <c r="AO147" s="497">
        <v>14</v>
      </c>
      <c r="AP147" s="450"/>
      <c r="AQ147" s="450"/>
      <c r="AR147" s="450"/>
      <c r="AS147" s="450"/>
      <c r="AT147" s="450">
        <v>1</v>
      </c>
      <c r="AU147" s="450">
        <v>1</v>
      </c>
      <c r="AV147" s="450">
        <v>1</v>
      </c>
      <c r="AW147" s="45">
        <v>130</v>
      </c>
      <c r="AX147" s="500" t="s">
        <v>2874</v>
      </c>
      <c r="AZ147" s="733"/>
      <c r="BA147" s="497">
        <v>14</v>
      </c>
      <c r="BB147" s="447">
        <v>1</v>
      </c>
      <c r="BC147" s="447">
        <v>1</v>
      </c>
      <c r="BD147" s="447"/>
      <c r="BE147" s="447"/>
      <c r="BF147" s="447"/>
      <c r="BG147" s="447"/>
      <c r="BJ147" s="31" t="str">
        <f>LINGUA!C72</f>
        <v>Pump 60 Hz (USA Market) (gaSteam only)</v>
      </c>
      <c r="DZ147" s="449"/>
    </row>
    <row r="148" spans="1:130" ht="13.5" hidden="1" thickBot="1" x14ac:dyDescent="0.25">
      <c r="A148" s="375"/>
      <c r="B148" s="375"/>
      <c r="C148" s="375"/>
      <c r="D148" s="562" t="str">
        <f>CONCATENATE(CODICI!B31, ": ",CODICI!C31)</f>
        <v>UEKY40X400: ‘Y’ connector for steam hoses (from 1x Ø=40 mm to 2x Ø=40 mm)</v>
      </c>
      <c r="E148" s="563"/>
      <c r="F148" s="563"/>
      <c r="G148" s="563"/>
      <c r="H148" s="563"/>
      <c r="I148" s="563"/>
      <c r="J148" s="564"/>
      <c r="K148" s="375"/>
      <c r="L148" s="375"/>
      <c r="M148" s="375"/>
      <c r="N148" s="380"/>
      <c r="O148" s="380"/>
      <c r="U148" s="115" t="s">
        <v>861</v>
      </c>
      <c r="V148" s="32" t="str">
        <f>IF(AB127="","",LOOKUP(SUM(X144:X146),U144:U146,V144:V146))</f>
        <v>1312367AXX</v>
      </c>
      <c r="W148" s="32"/>
      <c r="X148" s="32"/>
      <c r="Y148" s="32"/>
      <c r="Z148" s="499"/>
      <c r="AA148" s="502" t="str">
        <f t="shared" si="40"/>
        <v>UG090H</v>
      </c>
      <c r="AB148" s="503"/>
      <c r="AC148" s="504">
        <f t="shared" si="41"/>
        <v>1</v>
      </c>
      <c r="AD148" s="32"/>
      <c r="AE148" s="32"/>
      <c r="AF148" s="32"/>
      <c r="AG148" s="32"/>
      <c r="AH148" s="32"/>
      <c r="AI148" s="450" t="s">
        <v>1836</v>
      </c>
      <c r="AJ148" s="497">
        <v>15</v>
      </c>
      <c r="AK148" s="45" t="s">
        <v>203</v>
      </c>
      <c r="AL148" s="32"/>
      <c r="AM148" s="32"/>
      <c r="AN148" s="731" t="s">
        <v>608</v>
      </c>
      <c r="AO148" s="497">
        <v>15</v>
      </c>
      <c r="AP148" s="450">
        <v>1</v>
      </c>
      <c r="AQ148" s="450">
        <v>1</v>
      </c>
      <c r="AR148" s="450"/>
      <c r="AS148" s="450"/>
      <c r="AT148" s="450"/>
      <c r="AU148" s="450"/>
      <c r="AV148" s="450"/>
      <c r="AW148" s="45">
        <v>1.5</v>
      </c>
      <c r="AX148" s="500"/>
      <c r="AZ148" s="731" t="s">
        <v>608</v>
      </c>
      <c r="BA148" s="497">
        <v>15</v>
      </c>
      <c r="BB148" s="447">
        <v>1</v>
      </c>
      <c r="BC148" s="447">
        <v>1</v>
      </c>
      <c r="BD148" s="447"/>
      <c r="BE148" s="447"/>
      <c r="BF148" s="447"/>
      <c r="BG148" s="447"/>
    </row>
    <row r="149" spans="1:130" ht="13.5" hidden="1" thickTop="1" x14ac:dyDescent="0.2">
      <c r="A149" s="375"/>
      <c r="B149" s="375"/>
      <c r="C149" s="375"/>
      <c r="D149" s="565" t="str">
        <f>LINGUA!C555</f>
        <v>(1)"Special application" DP code included</v>
      </c>
      <c r="E149" s="549"/>
      <c r="F149" s="549"/>
      <c r="G149" s="549"/>
      <c r="H149" s="549"/>
      <c r="I149" s="549"/>
      <c r="J149" s="549"/>
      <c r="K149" s="375"/>
      <c r="L149" s="375"/>
      <c r="M149" s="375"/>
      <c r="N149" s="380"/>
      <c r="O149" s="380"/>
      <c r="U149" s="115"/>
      <c r="V149" s="32"/>
      <c r="W149" s="32"/>
      <c r="X149" s="32"/>
      <c r="Y149" s="32"/>
      <c r="Z149" s="499"/>
      <c r="AA149" s="502" t="str">
        <f t="shared" si="40"/>
        <v/>
      </c>
      <c r="AB149" s="503"/>
      <c r="AC149" s="504" t="str">
        <f t="shared" si="41"/>
        <v/>
      </c>
      <c r="AD149" s="32"/>
      <c r="AE149" s="32"/>
      <c r="AF149" s="32"/>
      <c r="AG149" s="32"/>
      <c r="AH149" s="32"/>
      <c r="AI149" s="450" t="s">
        <v>1837</v>
      </c>
      <c r="AJ149" s="497">
        <v>16</v>
      </c>
      <c r="AK149" s="45" t="s">
        <v>204</v>
      </c>
      <c r="AL149" s="32"/>
      <c r="AM149" s="32"/>
      <c r="AN149" s="732"/>
      <c r="AO149" s="497">
        <v>16</v>
      </c>
      <c r="AP149" s="450">
        <v>1</v>
      </c>
      <c r="AQ149" s="450">
        <v>1</v>
      </c>
      <c r="AR149" s="450">
        <v>1</v>
      </c>
      <c r="AS149" s="450">
        <v>1</v>
      </c>
      <c r="AT149" s="450">
        <v>1</v>
      </c>
      <c r="AU149" s="450">
        <v>1</v>
      </c>
      <c r="AV149" s="450"/>
      <c r="AW149" s="45">
        <v>3</v>
      </c>
      <c r="AX149" s="500"/>
      <c r="AZ149" s="732"/>
      <c r="BA149" s="497">
        <v>16</v>
      </c>
      <c r="BB149" s="447">
        <v>1</v>
      </c>
      <c r="BC149" s="447">
        <v>1</v>
      </c>
      <c r="BD149" s="447"/>
      <c r="BE149" s="447"/>
      <c r="BF149" s="447"/>
      <c r="BG149" s="447"/>
    </row>
    <row r="150" spans="1:130" ht="15" hidden="1" x14ac:dyDescent="0.25">
      <c r="A150" s="375"/>
      <c r="B150" s="375"/>
      <c r="C150" s="375"/>
      <c r="D150" s="566" t="str">
        <f>IF(G115=O131,'Steam absoprtion distance '!D28,"")</f>
        <v/>
      </c>
      <c r="E150" s="567" t="str">
        <f>IF(G115=O131,'Steam absoprtion distance '!G28,"")</f>
        <v/>
      </c>
      <c r="F150" s="549"/>
      <c r="G150" s="549"/>
      <c r="H150" s="549"/>
      <c r="I150" s="549"/>
      <c r="J150" s="549"/>
      <c r="K150" s="375"/>
      <c r="L150" s="375"/>
      <c r="M150" s="375"/>
      <c r="N150" s="380"/>
      <c r="O150" s="380"/>
      <c r="P150" s="499"/>
      <c r="U150" s="498" t="s">
        <v>2340</v>
      </c>
      <c r="V150" s="32"/>
      <c r="W150" s="32"/>
      <c r="X150" s="32"/>
      <c r="Y150" s="32"/>
      <c r="Z150" s="499"/>
      <c r="AA150" s="502" t="str">
        <f t="shared" si="40"/>
        <v/>
      </c>
      <c r="AB150" s="503"/>
      <c r="AC150" s="504" t="str">
        <f t="shared" si="41"/>
        <v/>
      </c>
      <c r="AD150" s="32"/>
      <c r="AE150" s="32"/>
      <c r="AF150" s="32"/>
      <c r="AG150" s="32"/>
      <c r="AH150" s="32"/>
      <c r="AI150" s="450" t="s">
        <v>1838</v>
      </c>
      <c r="AJ150" s="497">
        <v>17</v>
      </c>
      <c r="AK150" s="45" t="s">
        <v>205</v>
      </c>
      <c r="AL150" s="32"/>
      <c r="AM150" s="32"/>
      <c r="AN150" s="732"/>
      <c r="AO150" s="497">
        <v>17</v>
      </c>
      <c r="AP150" s="450">
        <v>1</v>
      </c>
      <c r="AQ150" s="450">
        <v>1</v>
      </c>
      <c r="AR150" s="450">
        <v>1</v>
      </c>
      <c r="AS150" s="450">
        <v>1</v>
      </c>
      <c r="AT150" s="450">
        <v>1</v>
      </c>
      <c r="AU150" s="450">
        <v>1</v>
      </c>
      <c r="AV150" s="450">
        <v>1</v>
      </c>
      <c r="AW150" s="45">
        <v>5</v>
      </c>
      <c r="AX150" s="500"/>
      <c r="AZ150" s="732"/>
      <c r="BA150" s="497">
        <v>17</v>
      </c>
      <c r="BB150" s="447">
        <v>1</v>
      </c>
      <c r="BC150" s="447">
        <v>1</v>
      </c>
      <c r="BD150" s="447"/>
      <c r="BE150" s="447"/>
      <c r="BF150" s="447"/>
      <c r="BG150" s="447"/>
    </row>
    <row r="151" spans="1:130" ht="15" hidden="1" x14ac:dyDescent="0.25">
      <c r="A151" s="375"/>
      <c r="B151" s="375"/>
      <c r="C151" s="375"/>
      <c r="D151" s="379"/>
      <c r="E151" s="383" t="str">
        <f>IF(G115=O131,'Steam absoprtion distance '!G29,"")</f>
        <v/>
      </c>
      <c r="F151" s="375"/>
      <c r="G151" s="375"/>
      <c r="H151" s="375"/>
      <c r="I151" s="375"/>
      <c r="J151" s="375"/>
      <c r="K151" s="375"/>
      <c r="L151" s="375"/>
      <c r="M151" s="375"/>
      <c r="N151" s="380"/>
      <c r="O151" s="380"/>
      <c r="P151" s="499"/>
      <c r="U151" s="115"/>
      <c r="V151" s="32"/>
      <c r="W151" s="32"/>
      <c r="X151" s="32"/>
      <c r="Y151" s="32"/>
      <c r="Z151" s="499"/>
      <c r="AA151" s="502" t="str">
        <f t="shared" si="40"/>
        <v/>
      </c>
      <c r="AB151" s="503"/>
      <c r="AC151" s="504" t="str">
        <f t="shared" si="41"/>
        <v/>
      </c>
      <c r="AD151" s="32"/>
      <c r="AE151" s="32"/>
      <c r="AF151" s="32"/>
      <c r="AG151" s="32"/>
      <c r="AH151" s="32"/>
      <c r="AI151" s="450" t="s">
        <v>1839</v>
      </c>
      <c r="AJ151" s="497">
        <v>18</v>
      </c>
      <c r="AK151" s="45" t="s">
        <v>206</v>
      </c>
      <c r="AL151" s="32"/>
      <c r="AM151" s="32"/>
      <c r="AN151" s="732"/>
      <c r="AO151" s="497">
        <v>18</v>
      </c>
      <c r="AP151" s="450"/>
      <c r="AQ151" s="450"/>
      <c r="AR151" s="450">
        <v>1</v>
      </c>
      <c r="AS151" s="450">
        <v>1</v>
      </c>
      <c r="AT151" s="450">
        <v>1</v>
      </c>
      <c r="AU151" s="450">
        <v>1</v>
      </c>
      <c r="AV151" s="450">
        <v>1</v>
      </c>
      <c r="AW151" s="45">
        <v>8</v>
      </c>
      <c r="AX151" s="500"/>
      <c r="AZ151" s="732"/>
      <c r="BA151" s="497">
        <v>18</v>
      </c>
      <c r="BB151" s="447">
        <v>1</v>
      </c>
      <c r="BC151" s="447">
        <v>1</v>
      </c>
      <c r="BD151" s="447"/>
      <c r="BE151" s="447"/>
      <c r="BF151" s="447"/>
      <c r="BG151" s="447"/>
    </row>
    <row r="152" spans="1:130" ht="15" hidden="1" x14ac:dyDescent="0.25">
      <c r="A152" s="375"/>
      <c r="B152" s="375"/>
      <c r="C152" s="375"/>
      <c r="D152" s="375"/>
      <c r="E152" s="383" t="str">
        <f>IF(G115=O131,'Steam absoprtion distance '!G30,"")</f>
        <v/>
      </c>
      <c r="F152" s="375"/>
      <c r="G152" s="375"/>
      <c r="H152" s="375"/>
      <c r="I152" s="375"/>
      <c r="J152" s="375"/>
      <c r="K152" s="375"/>
      <c r="L152" s="375"/>
      <c r="M152" s="375"/>
      <c r="N152" s="380"/>
      <c r="O152" s="380"/>
      <c r="P152" s="499"/>
      <c r="U152" s="45" t="s">
        <v>2339</v>
      </c>
      <c r="W152" s="45" t="s">
        <v>2122</v>
      </c>
      <c r="Y152" s="32"/>
      <c r="Z152" s="32"/>
      <c r="AA152" s="32"/>
      <c r="AB152" s="32"/>
      <c r="AC152" s="32"/>
      <c r="AD152" s="32"/>
      <c r="AE152" s="32"/>
      <c r="AF152" s="32"/>
      <c r="AG152" s="32"/>
      <c r="AH152" s="32"/>
      <c r="AI152" s="450" t="s">
        <v>1933</v>
      </c>
      <c r="AJ152" s="497">
        <v>19</v>
      </c>
      <c r="AK152" s="45" t="s">
        <v>207</v>
      </c>
      <c r="AL152" s="32"/>
      <c r="AM152" s="32"/>
      <c r="AN152" s="732"/>
      <c r="AO152" s="497">
        <v>19</v>
      </c>
      <c r="AP152" s="450">
        <v>1</v>
      </c>
      <c r="AQ152" s="450">
        <v>1</v>
      </c>
      <c r="AR152" s="450"/>
      <c r="AS152" s="450"/>
      <c r="AT152" s="450"/>
      <c r="AU152" s="450"/>
      <c r="AV152" s="450"/>
      <c r="AW152" s="45">
        <v>9</v>
      </c>
      <c r="AX152" s="500"/>
      <c r="AZ152" s="732"/>
      <c r="BA152" s="497">
        <v>19</v>
      </c>
      <c r="BB152" s="447">
        <v>1</v>
      </c>
      <c r="BC152" s="447">
        <v>1</v>
      </c>
      <c r="BD152" s="447"/>
      <c r="BE152" s="447"/>
      <c r="BF152" s="447"/>
      <c r="BG152" s="447"/>
    </row>
    <row r="153" spans="1:130" hidden="1" x14ac:dyDescent="0.2">
      <c r="A153" s="375"/>
      <c r="B153" s="375"/>
      <c r="C153" s="375"/>
      <c r="D153" s="375"/>
      <c r="E153" s="379"/>
      <c r="F153" s="375"/>
      <c r="G153" s="375"/>
      <c r="H153" s="375"/>
      <c r="I153" s="375"/>
      <c r="J153" s="375"/>
      <c r="K153" s="375"/>
      <c r="L153" s="375"/>
      <c r="M153" s="375"/>
      <c r="N153" s="380"/>
      <c r="O153" s="380"/>
      <c r="P153" s="499"/>
      <c r="U153" s="115"/>
      <c r="V153" s="32"/>
      <c r="W153" s="32"/>
      <c r="X153" s="32"/>
      <c r="Y153" s="32"/>
      <c r="Z153" s="32"/>
      <c r="AA153" s="32"/>
      <c r="AB153" s="32"/>
      <c r="AC153" s="32"/>
      <c r="AD153" s="32"/>
      <c r="AE153" s="32"/>
      <c r="AF153" s="32"/>
      <c r="AG153" s="32"/>
      <c r="AH153" s="32"/>
      <c r="AI153" s="450" t="s">
        <v>1934</v>
      </c>
      <c r="AJ153" s="497">
        <v>20</v>
      </c>
      <c r="AK153" s="45" t="s">
        <v>208</v>
      </c>
      <c r="AL153" s="32"/>
      <c r="AM153" s="32"/>
      <c r="AN153" s="732"/>
      <c r="AO153" s="497">
        <v>20</v>
      </c>
      <c r="AP153" s="450"/>
      <c r="AQ153" s="450"/>
      <c r="AR153" s="450">
        <v>1</v>
      </c>
      <c r="AS153" s="450">
        <v>1</v>
      </c>
      <c r="AT153" s="450">
        <v>1</v>
      </c>
      <c r="AU153" s="450">
        <v>1</v>
      </c>
      <c r="AV153" s="450">
        <v>1</v>
      </c>
      <c r="AW153" s="45">
        <v>10</v>
      </c>
      <c r="AX153" s="500"/>
      <c r="AZ153" s="732"/>
      <c r="BA153" s="497">
        <v>20</v>
      </c>
      <c r="BB153" s="447">
        <v>1</v>
      </c>
      <c r="BC153" s="447">
        <v>1</v>
      </c>
      <c r="BD153" s="447"/>
      <c r="BE153" s="447"/>
      <c r="BF153" s="447"/>
      <c r="BG153" s="447"/>
    </row>
    <row r="154" spans="1:130" ht="13.5" hidden="1" thickBot="1" x14ac:dyDescent="0.25">
      <c r="A154" s="375"/>
      <c r="B154" s="375"/>
      <c r="C154" s="375"/>
      <c r="D154" s="375"/>
      <c r="E154" s="375"/>
      <c r="F154" s="375"/>
      <c r="G154" s="375"/>
      <c r="H154" s="375"/>
      <c r="I154" s="375"/>
      <c r="J154" s="375"/>
      <c r="K154" s="375"/>
      <c r="L154" s="375"/>
      <c r="M154" s="375"/>
      <c r="N154" s="380"/>
      <c r="O154" s="380"/>
      <c r="P154" s="499"/>
      <c r="U154" s="115"/>
      <c r="V154" s="32"/>
      <c r="W154" s="32"/>
      <c r="X154" s="32"/>
      <c r="Y154" s="32"/>
      <c r="Z154" s="505"/>
      <c r="AA154" s="32"/>
      <c r="AB154" s="32"/>
      <c r="AC154" s="32"/>
      <c r="AD154" s="32"/>
      <c r="AE154" s="32"/>
      <c r="AF154" s="32"/>
      <c r="AG154" s="32"/>
      <c r="AH154" s="32"/>
      <c r="AI154" s="450" t="s">
        <v>599</v>
      </c>
      <c r="AJ154" s="497">
        <v>21</v>
      </c>
      <c r="AK154" s="45" t="s">
        <v>209</v>
      </c>
      <c r="AL154" s="32"/>
      <c r="AM154" s="32"/>
      <c r="AN154" s="732"/>
      <c r="AO154" s="497">
        <v>21</v>
      </c>
      <c r="AP154" s="450"/>
      <c r="AQ154" s="450"/>
      <c r="AR154" s="450">
        <v>1</v>
      </c>
      <c r="AS154" s="450">
        <v>1</v>
      </c>
      <c r="AT154" s="450">
        <v>1</v>
      </c>
      <c r="AU154" s="450">
        <v>1</v>
      </c>
      <c r="AV154" s="450">
        <v>1</v>
      </c>
      <c r="AW154" s="45">
        <v>15</v>
      </c>
      <c r="AX154" s="500"/>
      <c r="AZ154" s="732"/>
      <c r="BA154" s="497">
        <v>21</v>
      </c>
      <c r="BB154" s="447">
        <v>1</v>
      </c>
      <c r="BC154" s="447">
        <v>1</v>
      </c>
      <c r="BD154" s="447"/>
      <c r="BE154" s="447"/>
      <c r="BF154" s="447"/>
      <c r="BG154" s="447"/>
    </row>
    <row r="155" spans="1:130" ht="25.5" hidden="1" thickBot="1" x14ac:dyDescent="0.35">
      <c r="A155" s="375"/>
      <c r="B155" s="375"/>
      <c r="C155" s="375"/>
      <c r="D155" s="735" t="str">
        <f>LINGUA!B56</f>
        <v>Go to the "Selection" sheet</v>
      </c>
      <c r="E155" s="736"/>
      <c r="F155" s="736"/>
      <c r="G155" s="736"/>
      <c r="H155" s="736"/>
      <c r="I155" s="736"/>
      <c r="J155" s="737"/>
      <c r="K155" s="375"/>
      <c r="L155" s="375"/>
      <c r="M155" s="375"/>
      <c r="N155" s="380"/>
      <c r="O155" s="380"/>
      <c r="P155" s="499"/>
      <c r="U155" s="498" t="s">
        <v>2342</v>
      </c>
      <c r="V155" s="32"/>
      <c r="W155" s="32"/>
      <c r="X155" s="32"/>
      <c r="Y155" s="32"/>
      <c r="Z155" s="32"/>
      <c r="AA155" s="32"/>
      <c r="AB155" s="32"/>
      <c r="AC155" s="32"/>
      <c r="AD155" s="32"/>
      <c r="AE155" s="32"/>
      <c r="AF155" s="32"/>
      <c r="AG155" s="32"/>
      <c r="AH155" s="32"/>
      <c r="AI155" s="450" t="s">
        <v>1935</v>
      </c>
      <c r="AJ155" s="497">
        <v>22</v>
      </c>
      <c r="AK155" s="45" t="s">
        <v>210</v>
      </c>
      <c r="AL155" s="32"/>
      <c r="AM155" s="32"/>
      <c r="AN155" s="732"/>
      <c r="AO155" s="497">
        <v>22</v>
      </c>
      <c r="AP155" s="450"/>
      <c r="AQ155" s="450"/>
      <c r="AR155" s="450"/>
      <c r="AS155" s="450"/>
      <c r="AT155" s="450">
        <v>1</v>
      </c>
      <c r="AU155" s="450">
        <v>1</v>
      </c>
      <c r="AV155" s="450">
        <v>1</v>
      </c>
      <c r="AW155" s="45">
        <v>18</v>
      </c>
      <c r="AX155" s="500"/>
      <c r="AZ155" s="732"/>
      <c r="BA155" s="497">
        <v>22</v>
      </c>
      <c r="BB155" s="447">
        <v>1</v>
      </c>
      <c r="BC155" s="447">
        <v>1</v>
      </c>
      <c r="BD155" s="447"/>
      <c r="BE155" s="447"/>
      <c r="BF155" s="447"/>
      <c r="BG155" s="447"/>
    </row>
    <row r="156" spans="1:130" hidden="1" x14ac:dyDescent="0.2">
      <c r="A156" s="8"/>
      <c r="B156" s="8"/>
      <c r="C156" s="8"/>
      <c r="D156" s="8"/>
      <c r="E156" s="8"/>
      <c r="F156" s="8"/>
      <c r="G156" s="8"/>
      <c r="H156" s="8"/>
      <c r="I156" s="8"/>
      <c r="J156" s="8"/>
      <c r="K156" s="8"/>
      <c r="L156" s="8"/>
      <c r="M156" s="8"/>
      <c r="N156" s="499"/>
      <c r="O156" s="499"/>
      <c r="P156" s="499"/>
      <c r="U156" s="32"/>
      <c r="V156" s="32"/>
      <c r="W156" s="32"/>
      <c r="X156" s="32"/>
      <c r="Y156" s="32"/>
      <c r="Z156" s="32"/>
      <c r="AA156" s="32"/>
      <c r="AB156" s="32"/>
      <c r="AC156" s="32"/>
      <c r="AD156" s="32"/>
      <c r="AE156" s="32"/>
      <c r="AF156" s="32"/>
      <c r="AG156" s="32"/>
      <c r="AH156" s="32"/>
      <c r="AI156" s="450" t="s">
        <v>1936</v>
      </c>
      <c r="AJ156" s="497">
        <v>23</v>
      </c>
      <c r="AK156" s="45" t="s">
        <v>211</v>
      </c>
      <c r="AL156" s="32"/>
      <c r="AM156" s="32"/>
      <c r="AN156" s="732"/>
      <c r="AO156" s="497">
        <v>23</v>
      </c>
      <c r="AP156" s="450"/>
      <c r="AQ156" s="450"/>
      <c r="AR156" s="450">
        <v>1</v>
      </c>
      <c r="AS156" s="450">
        <v>1</v>
      </c>
      <c r="AT156" s="450">
        <v>1</v>
      </c>
      <c r="AU156" s="450">
        <v>1</v>
      </c>
      <c r="AV156" s="450">
        <v>1</v>
      </c>
      <c r="AW156" s="45">
        <v>25</v>
      </c>
      <c r="AX156" s="500"/>
      <c r="AZ156" s="732"/>
      <c r="BA156" s="497">
        <v>23</v>
      </c>
      <c r="BB156" s="447">
        <v>1</v>
      </c>
      <c r="BC156" s="447">
        <v>1</v>
      </c>
      <c r="BD156" s="447"/>
      <c r="BE156" s="447"/>
      <c r="BF156" s="447"/>
      <c r="BG156" s="447"/>
    </row>
    <row r="157" spans="1:130" hidden="1" x14ac:dyDescent="0.2">
      <c r="A157" s="8"/>
      <c r="B157" s="8"/>
      <c r="C157" s="8"/>
      <c r="D157" s="8"/>
      <c r="E157" s="8"/>
      <c r="F157" s="8"/>
      <c r="G157" s="8"/>
      <c r="H157" s="8"/>
      <c r="I157" s="8"/>
      <c r="J157" s="8"/>
      <c r="K157" s="8"/>
      <c r="L157" s="8"/>
      <c r="M157" s="8"/>
      <c r="N157" s="499"/>
      <c r="O157" s="499"/>
      <c r="P157" s="499"/>
      <c r="U157" s="499" t="s">
        <v>1545</v>
      </c>
      <c r="Z157" s="32"/>
      <c r="AA157" s="32"/>
      <c r="AB157" s="32"/>
      <c r="AC157" s="32"/>
      <c r="AD157" s="32"/>
      <c r="AE157" s="32"/>
      <c r="AF157" s="32"/>
      <c r="AI157" s="450" t="s">
        <v>1937</v>
      </c>
      <c r="AJ157" s="497">
        <v>24</v>
      </c>
      <c r="AK157" s="45" t="s">
        <v>212</v>
      </c>
      <c r="AN157" s="732"/>
      <c r="AO157" s="497">
        <v>24</v>
      </c>
      <c r="AP157" s="450"/>
      <c r="AQ157" s="450"/>
      <c r="AR157" s="450">
        <v>1</v>
      </c>
      <c r="AS157" s="450">
        <v>1</v>
      </c>
      <c r="AT157" s="450">
        <v>1</v>
      </c>
      <c r="AU157" s="450">
        <v>1</v>
      </c>
      <c r="AV157" s="450">
        <v>1</v>
      </c>
      <c r="AW157" s="45">
        <v>35</v>
      </c>
      <c r="AX157" s="500"/>
      <c r="AZ157" s="732"/>
      <c r="BA157" s="497">
        <v>24</v>
      </c>
      <c r="BB157" s="447">
        <v>1</v>
      </c>
      <c r="BC157" s="447">
        <v>1</v>
      </c>
      <c r="BD157" s="447"/>
      <c r="BE157" s="447"/>
      <c r="BF157" s="447"/>
      <c r="BG157" s="447"/>
    </row>
    <row r="158" spans="1:130" hidden="1" x14ac:dyDescent="0.2">
      <c r="A158" s="8"/>
      <c r="B158" s="8"/>
      <c r="C158" s="8"/>
      <c r="D158" s="8"/>
      <c r="E158" s="8"/>
      <c r="F158" s="8"/>
      <c r="G158" s="8"/>
      <c r="H158" s="8"/>
      <c r="I158" s="8"/>
      <c r="J158" s="501"/>
      <c r="K158" s="526" t="s">
        <v>248</v>
      </c>
      <c r="L158" s="527"/>
      <c r="M158" s="527"/>
      <c r="N158" s="527"/>
      <c r="O158" s="527"/>
      <c r="U158" s="499" t="s">
        <v>1546</v>
      </c>
      <c r="Z158" s="32"/>
      <c r="AA158" s="32"/>
      <c r="AB158" s="32"/>
      <c r="AI158" s="450" t="s">
        <v>1938</v>
      </c>
      <c r="AJ158" s="497">
        <v>25</v>
      </c>
      <c r="AK158" s="45" t="s">
        <v>213</v>
      </c>
      <c r="AN158" s="732"/>
      <c r="AO158" s="497">
        <v>25</v>
      </c>
      <c r="AP158" s="450"/>
      <c r="AQ158" s="450"/>
      <c r="AR158" s="450">
        <v>1</v>
      </c>
      <c r="AS158" s="450">
        <v>1</v>
      </c>
      <c r="AT158" s="450">
        <v>1</v>
      </c>
      <c r="AU158" s="450">
        <v>1</v>
      </c>
      <c r="AV158" s="450">
        <v>1</v>
      </c>
      <c r="AW158" s="45">
        <v>45</v>
      </c>
      <c r="AX158" s="500"/>
      <c r="AZ158" s="732"/>
      <c r="BA158" s="497">
        <v>25</v>
      </c>
      <c r="BB158" s="447">
        <v>1</v>
      </c>
      <c r="BC158" s="447">
        <v>1</v>
      </c>
      <c r="BD158" s="447"/>
      <c r="BE158" s="447"/>
      <c r="BF158" s="447"/>
      <c r="BG158" s="447"/>
    </row>
    <row r="159" spans="1:130" hidden="1" x14ac:dyDescent="0.2">
      <c r="A159" s="8"/>
      <c r="B159" s="8"/>
      <c r="C159" s="8"/>
      <c r="D159" s="8"/>
      <c r="E159" s="8"/>
      <c r="F159" s="8"/>
      <c r="G159" s="8"/>
      <c r="H159" s="8"/>
      <c r="I159" s="8"/>
      <c r="J159" s="501"/>
      <c r="K159" s="526" t="s">
        <v>247</v>
      </c>
      <c r="L159" s="527"/>
      <c r="M159" s="527"/>
      <c r="N159" s="527"/>
      <c r="O159" s="527"/>
      <c r="U159" s="499" t="s">
        <v>1547</v>
      </c>
      <c r="AI159" s="450" t="s">
        <v>1939</v>
      </c>
      <c r="AJ159" s="497">
        <v>26</v>
      </c>
      <c r="AK159" s="45" t="s">
        <v>1536</v>
      </c>
      <c r="AN159" s="732"/>
      <c r="AO159" s="497">
        <v>26</v>
      </c>
      <c r="AP159" s="450"/>
      <c r="AQ159" s="450"/>
      <c r="AR159" s="450"/>
      <c r="AS159" s="450"/>
      <c r="AT159" s="450">
        <v>1</v>
      </c>
      <c r="AU159" s="450">
        <v>1</v>
      </c>
      <c r="AV159" s="450">
        <v>1</v>
      </c>
      <c r="AW159" s="45">
        <v>65</v>
      </c>
      <c r="AX159" s="500"/>
      <c r="AZ159" s="732"/>
      <c r="BA159" s="497">
        <v>26</v>
      </c>
      <c r="BB159" s="447">
        <v>1</v>
      </c>
      <c r="BC159" s="447">
        <v>1</v>
      </c>
      <c r="BD159" s="447"/>
      <c r="BE159" s="447"/>
      <c r="BF159" s="447"/>
      <c r="BG159" s="447"/>
    </row>
    <row r="160" spans="1:130" hidden="1" x14ac:dyDescent="0.2">
      <c r="A160" s="8"/>
      <c r="B160" s="8"/>
      <c r="C160" s="8"/>
      <c r="D160" s="8"/>
      <c r="E160" s="8"/>
      <c r="F160" s="8"/>
      <c r="G160" s="8"/>
      <c r="H160" s="8"/>
      <c r="I160" s="8"/>
      <c r="J160" s="501"/>
      <c r="K160" s="526" t="s">
        <v>246</v>
      </c>
      <c r="L160" s="527"/>
      <c r="M160" s="527"/>
      <c r="N160" s="527"/>
      <c r="O160" s="527"/>
      <c r="U160" s="499" t="s">
        <v>1548</v>
      </c>
      <c r="AI160" s="450" t="s">
        <v>1940</v>
      </c>
      <c r="AJ160" s="497">
        <v>27</v>
      </c>
      <c r="AK160" s="45" t="s">
        <v>3237</v>
      </c>
      <c r="AN160" s="731" t="s">
        <v>1819</v>
      </c>
      <c r="AO160" s="497">
        <v>27</v>
      </c>
      <c r="AP160" s="450"/>
      <c r="AQ160" s="652">
        <v>1</v>
      </c>
      <c r="AR160" s="450"/>
      <c r="AS160" s="450"/>
      <c r="AT160" s="450"/>
      <c r="AU160" s="450"/>
      <c r="AV160" s="450"/>
      <c r="AW160" s="45">
        <v>2</v>
      </c>
      <c r="AX160" s="500" t="s">
        <v>2875</v>
      </c>
      <c r="AZ160" s="731" t="s">
        <v>609</v>
      </c>
      <c r="BA160" s="497">
        <v>27</v>
      </c>
      <c r="BB160" s="447"/>
      <c r="BC160" s="447"/>
      <c r="BD160" s="447">
        <v>1</v>
      </c>
      <c r="BE160" s="447">
        <v>1</v>
      </c>
      <c r="BF160" s="447"/>
      <c r="BG160" s="447"/>
    </row>
    <row r="161" spans="1:59" hidden="1" x14ac:dyDescent="0.2">
      <c r="A161" s="8"/>
      <c r="B161" s="8"/>
      <c r="C161" s="8"/>
      <c r="D161" s="8"/>
      <c r="E161" s="8"/>
      <c r="F161" s="8"/>
      <c r="G161" s="8"/>
      <c r="H161" s="8"/>
      <c r="I161" s="8"/>
      <c r="J161" s="501"/>
      <c r="K161" s="526" t="s">
        <v>245</v>
      </c>
      <c r="L161" s="527"/>
      <c r="M161" s="527"/>
      <c r="N161" s="527"/>
      <c r="O161" s="527"/>
      <c r="U161" s="499" t="s">
        <v>1549</v>
      </c>
      <c r="X161" s="32"/>
      <c r="Y161" s="32"/>
      <c r="Z161" s="32"/>
      <c r="AA161" s="32"/>
      <c r="AB161" s="32"/>
      <c r="AI161" s="450" t="s">
        <v>1941</v>
      </c>
      <c r="AJ161" s="497">
        <v>28</v>
      </c>
      <c r="AK161" s="45" t="s">
        <v>3238</v>
      </c>
      <c r="AN161" s="732"/>
      <c r="AO161" s="497">
        <v>28</v>
      </c>
      <c r="AP161" s="450"/>
      <c r="AQ161" s="652">
        <v>1</v>
      </c>
      <c r="AR161" s="450"/>
      <c r="AS161" s="450"/>
      <c r="AT161" s="450"/>
      <c r="AU161" s="450"/>
      <c r="AV161" s="450"/>
      <c r="AW161" s="45">
        <v>4</v>
      </c>
      <c r="AX161" s="500" t="s">
        <v>2876</v>
      </c>
      <c r="AZ161" s="732"/>
      <c r="BA161" s="497">
        <v>28</v>
      </c>
      <c r="BB161" s="447"/>
      <c r="BC161" s="447"/>
      <c r="BD161" s="447">
        <v>1</v>
      </c>
      <c r="BE161" s="447">
        <v>1</v>
      </c>
      <c r="BF161" s="447"/>
      <c r="BG161" s="447"/>
    </row>
    <row r="162" spans="1:59" hidden="1" x14ac:dyDescent="0.2">
      <c r="A162" s="8"/>
      <c r="B162" s="8"/>
      <c r="C162" s="8"/>
      <c r="D162" s="8"/>
      <c r="E162" s="8"/>
      <c r="F162" s="8"/>
      <c r="G162" s="8"/>
      <c r="H162" s="8"/>
      <c r="I162" s="8"/>
      <c r="J162" s="501"/>
      <c r="K162" s="526" t="s">
        <v>1219</v>
      </c>
      <c r="L162" s="501"/>
      <c r="M162" s="501"/>
      <c r="N162" s="527"/>
      <c r="O162" s="527"/>
      <c r="U162" s="499" t="s">
        <v>1213</v>
      </c>
      <c r="X162" s="32"/>
      <c r="Y162" s="32"/>
      <c r="Z162" s="32"/>
      <c r="AA162" s="32"/>
      <c r="AB162" s="32"/>
      <c r="AI162" s="450" t="s">
        <v>1942</v>
      </c>
      <c r="AJ162" s="497">
        <v>29</v>
      </c>
      <c r="AK162" s="45" t="s">
        <v>3239</v>
      </c>
      <c r="AN162" s="732"/>
      <c r="AO162" s="497">
        <v>29</v>
      </c>
      <c r="AP162" s="450"/>
      <c r="AQ162" s="652">
        <v>1</v>
      </c>
      <c r="AR162" s="450"/>
      <c r="AS162" s="652">
        <v>1</v>
      </c>
      <c r="AT162" s="652">
        <v>1</v>
      </c>
      <c r="AU162" s="450"/>
      <c r="AV162" s="450"/>
      <c r="AW162" s="45">
        <v>6</v>
      </c>
      <c r="AX162" s="500" t="s">
        <v>2877</v>
      </c>
      <c r="AZ162" s="732"/>
      <c r="BA162" s="497">
        <v>29</v>
      </c>
      <c r="BB162" s="447"/>
      <c r="BC162" s="447"/>
      <c r="BD162" s="447">
        <v>1</v>
      </c>
      <c r="BE162" s="447">
        <v>1</v>
      </c>
      <c r="BF162" s="447"/>
      <c r="BG162" s="447"/>
    </row>
    <row r="163" spans="1:59" hidden="1" x14ac:dyDescent="0.2">
      <c r="A163" s="8"/>
      <c r="B163" s="8"/>
      <c r="C163" s="8"/>
      <c r="D163" s="8"/>
      <c r="E163" s="8"/>
      <c r="F163" s="8"/>
      <c r="G163" s="8"/>
      <c r="H163" s="8"/>
      <c r="I163" s="8"/>
      <c r="J163" s="501"/>
      <c r="K163" s="526" t="s">
        <v>254</v>
      </c>
      <c r="L163" s="501"/>
      <c r="M163" s="501"/>
      <c r="N163" s="527"/>
      <c r="O163" s="527"/>
      <c r="X163" s="32"/>
      <c r="Y163" s="32"/>
      <c r="Z163" s="32"/>
      <c r="AA163" s="32"/>
      <c r="AB163" s="32"/>
      <c r="AI163" s="450" t="s">
        <v>1943</v>
      </c>
      <c r="AJ163" s="497">
        <v>30</v>
      </c>
      <c r="AK163" s="45" t="s">
        <v>3240</v>
      </c>
      <c r="AN163" s="732"/>
      <c r="AO163" s="497">
        <v>30</v>
      </c>
      <c r="AP163" s="450"/>
      <c r="AQ163" s="450"/>
      <c r="AR163" s="450"/>
      <c r="AS163" s="652">
        <v>1</v>
      </c>
      <c r="AT163" s="652">
        <v>1</v>
      </c>
      <c r="AU163" s="652">
        <v>1</v>
      </c>
      <c r="AV163" s="450"/>
      <c r="AW163" s="45">
        <v>10</v>
      </c>
      <c r="AX163" s="500" t="s">
        <v>2866</v>
      </c>
      <c r="AZ163" s="732"/>
      <c r="BA163" s="497">
        <v>30</v>
      </c>
      <c r="BB163" s="447"/>
      <c r="BC163" s="447"/>
      <c r="BD163" s="447">
        <v>1</v>
      </c>
      <c r="BE163" s="447">
        <v>1</v>
      </c>
      <c r="BF163" s="447"/>
      <c r="BG163" s="447"/>
    </row>
    <row r="164" spans="1:59" hidden="1" x14ac:dyDescent="0.2">
      <c r="A164" s="8"/>
      <c r="B164" s="8"/>
      <c r="C164" s="8"/>
      <c r="D164" s="8"/>
      <c r="E164" s="8"/>
      <c r="F164" s="8"/>
      <c r="G164" s="8"/>
      <c r="H164" s="8"/>
      <c r="I164" s="8"/>
      <c r="J164" s="501"/>
      <c r="K164" s="526" t="s">
        <v>253</v>
      </c>
      <c r="L164" s="501"/>
      <c r="M164" s="501"/>
      <c r="N164" s="527"/>
      <c r="O164" s="527"/>
      <c r="X164" s="32"/>
      <c r="Y164" s="32"/>
      <c r="Z164" s="32"/>
      <c r="AA164" s="32"/>
      <c r="AB164" s="32"/>
      <c r="AI164" s="544" t="s">
        <v>3007</v>
      </c>
      <c r="AJ164" s="497">
        <v>31</v>
      </c>
      <c r="AK164" s="45" t="s">
        <v>3241</v>
      </c>
      <c r="AN164" s="732"/>
      <c r="AO164" s="545">
        <v>31</v>
      </c>
      <c r="AP164" s="450"/>
      <c r="AQ164" s="450"/>
      <c r="AR164" s="450"/>
      <c r="AS164" s="652">
        <v>1</v>
      </c>
      <c r="AT164" s="652">
        <v>1</v>
      </c>
      <c r="AU164" s="652">
        <v>1</v>
      </c>
      <c r="AV164" s="450"/>
      <c r="AW164" s="45">
        <v>13</v>
      </c>
      <c r="AX164" s="500" t="s">
        <v>2874</v>
      </c>
      <c r="AZ164" s="732"/>
      <c r="BA164" s="497">
        <v>31</v>
      </c>
      <c r="BB164" s="447"/>
      <c r="BC164" s="447"/>
      <c r="BD164" s="447">
        <v>1</v>
      </c>
      <c r="BE164" s="447">
        <v>1</v>
      </c>
      <c r="BF164" s="447"/>
      <c r="BG164" s="447"/>
    </row>
    <row r="165" spans="1:59" hidden="1" x14ac:dyDescent="0.2">
      <c r="A165" s="8"/>
      <c r="B165" s="8"/>
      <c r="C165" s="8"/>
      <c r="D165" s="8"/>
      <c r="E165" s="8"/>
      <c r="F165" s="8"/>
      <c r="G165" s="8"/>
      <c r="H165" s="8"/>
      <c r="I165" s="8"/>
      <c r="J165" s="501"/>
      <c r="K165" s="526" t="s">
        <v>252</v>
      </c>
      <c r="L165" s="527"/>
      <c r="M165" s="527"/>
      <c r="N165" s="527"/>
      <c r="O165" s="527"/>
      <c r="X165" s="32"/>
      <c r="Y165" s="32"/>
      <c r="Z165" s="32"/>
      <c r="AA165" s="32"/>
      <c r="AB165" s="32"/>
      <c r="AI165" s="450" t="s">
        <v>619</v>
      </c>
      <c r="AJ165" s="497">
        <v>32</v>
      </c>
      <c r="AK165" s="45" t="s">
        <v>3242</v>
      </c>
      <c r="AN165" s="732"/>
      <c r="AO165" s="497">
        <v>32</v>
      </c>
      <c r="AP165" s="450"/>
      <c r="AQ165" s="450"/>
      <c r="AR165" s="450"/>
      <c r="AS165" s="652">
        <v>1</v>
      </c>
      <c r="AT165" s="652">
        <v>1</v>
      </c>
      <c r="AU165" s="652">
        <v>1</v>
      </c>
      <c r="AV165" s="450"/>
      <c r="AW165" s="45">
        <v>20</v>
      </c>
      <c r="AX165" s="500" t="s">
        <v>2878</v>
      </c>
      <c r="AZ165" s="732"/>
      <c r="BA165" s="497">
        <v>32</v>
      </c>
      <c r="BB165" s="447"/>
      <c r="BC165" s="447"/>
      <c r="BD165" s="447">
        <v>1</v>
      </c>
      <c r="BE165" s="447">
        <v>1</v>
      </c>
      <c r="BF165" s="447"/>
      <c r="BG165" s="447"/>
    </row>
    <row r="166" spans="1:59" hidden="1" x14ac:dyDescent="0.2">
      <c r="A166" s="8"/>
      <c r="B166" s="8"/>
      <c r="C166" s="8"/>
      <c r="D166" s="8"/>
      <c r="E166" s="8"/>
      <c r="F166" s="8"/>
      <c r="G166" s="8"/>
      <c r="H166" s="8"/>
      <c r="I166" s="8"/>
      <c r="J166" s="501"/>
      <c r="K166" s="526" t="s">
        <v>251</v>
      </c>
      <c r="L166" s="527"/>
      <c r="M166" s="527"/>
      <c r="N166" s="527"/>
      <c r="O166" s="527"/>
      <c r="X166" s="32"/>
      <c r="Y166" s="32"/>
      <c r="Z166" s="32"/>
      <c r="AA166" s="32"/>
      <c r="AB166" s="32"/>
      <c r="AI166" s="450" t="s">
        <v>1944</v>
      </c>
      <c r="AJ166" s="497">
        <v>33</v>
      </c>
      <c r="AK166" s="45" t="s">
        <v>3243</v>
      </c>
      <c r="AN166" s="732"/>
      <c r="AO166" s="497">
        <v>33</v>
      </c>
      <c r="AP166" s="450"/>
      <c r="AQ166" s="450"/>
      <c r="AR166" s="450"/>
      <c r="AS166" s="652">
        <v>1</v>
      </c>
      <c r="AT166" s="652">
        <v>1</v>
      </c>
      <c r="AU166" s="652">
        <v>1</v>
      </c>
      <c r="AV166" s="450"/>
      <c r="AW166" s="45">
        <v>27</v>
      </c>
      <c r="AX166" s="500" t="s">
        <v>2879</v>
      </c>
      <c r="AZ166" s="732"/>
      <c r="BA166" s="497">
        <v>33</v>
      </c>
      <c r="BB166" s="447"/>
      <c r="BC166" s="447"/>
      <c r="BD166" s="447">
        <v>1</v>
      </c>
      <c r="BE166" s="447">
        <v>1</v>
      </c>
      <c r="BF166" s="447"/>
      <c r="BG166" s="447"/>
    </row>
    <row r="167" spans="1:59" hidden="1" x14ac:dyDescent="0.2">
      <c r="A167" s="8"/>
      <c r="B167" s="8"/>
      <c r="C167" s="8"/>
      <c r="D167" s="8"/>
      <c r="E167" s="8"/>
      <c r="F167" s="8"/>
      <c r="G167" s="8"/>
      <c r="H167" s="8"/>
      <c r="I167" s="8"/>
      <c r="J167" s="501"/>
      <c r="K167" s="526" t="s">
        <v>250</v>
      </c>
      <c r="L167" s="527"/>
      <c r="M167" s="527"/>
      <c r="N167" s="527"/>
      <c r="O167" s="527"/>
      <c r="AI167" s="450" t="s">
        <v>1945</v>
      </c>
      <c r="AJ167" s="497">
        <v>34</v>
      </c>
      <c r="AK167" s="45" t="s">
        <v>3244</v>
      </c>
      <c r="AN167" s="732"/>
      <c r="AO167" s="497">
        <v>34</v>
      </c>
      <c r="AP167" s="450"/>
      <c r="AQ167" s="450"/>
      <c r="AR167" s="450"/>
      <c r="AS167" s="450"/>
      <c r="AT167" s="652">
        <v>1</v>
      </c>
      <c r="AU167" s="652">
        <v>1</v>
      </c>
      <c r="AV167" s="450"/>
      <c r="AW167" s="45">
        <v>40</v>
      </c>
      <c r="AX167" s="500" t="s">
        <v>2880</v>
      </c>
      <c r="AZ167" s="732"/>
      <c r="BA167" s="497">
        <v>34</v>
      </c>
      <c r="BB167" s="447"/>
      <c r="BC167" s="447"/>
      <c r="BD167" s="447">
        <v>1</v>
      </c>
      <c r="BE167" s="447">
        <v>1</v>
      </c>
      <c r="BF167" s="447"/>
      <c r="BG167" s="447"/>
    </row>
    <row r="168" spans="1:59" hidden="1" x14ac:dyDescent="0.2">
      <c r="A168" s="8"/>
      <c r="B168" s="8"/>
      <c r="C168" s="8"/>
      <c r="D168" s="8"/>
      <c r="E168" s="8"/>
      <c r="F168" s="8"/>
      <c r="G168" s="8"/>
      <c r="H168" s="8"/>
      <c r="I168" s="8"/>
      <c r="J168" s="501"/>
      <c r="K168" s="526" t="s">
        <v>249</v>
      </c>
      <c r="L168" s="527"/>
      <c r="M168" s="527"/>
      <c r="N168" s="527"/>
      <c r="O168" s="527"/>
      <c r="AI168" s="544" t="s">
        <v>3008</v>
      </c>
      <c r="AJ168" s="497">
        <v>35</v>
      </c>
      <c r="AK168" s="45" t="s">
        <v>3245</v>
      </c>
      <c r="AN168" s="732"/>
      <c r="AO168" s="545">
        <v>35</v>
      </c>
      <c r="AP168" s="450"/>
      <c r="AQ168" s="450"/>
      <c r="AR168" s="450"/>
      <c r="AS168" s="450"/>
      <c r="AT168" s="652">
        <v>1</v>
      </c>
      <c r="AU168" s="652">
        <v>1</v>
      </c>
      <c r="AV168" s="450"/>
      <c r="AW168" s="45">
        <v>53</v>
      </c>
      <c r="AX168" s="500" t="s">
        <v>3009</v>
      </c>
      <c r="AZ168" s="732"/>
      <c r="BA168" s="497">
        <v>35</v>
      </c>
      <c r="BB168" s="447"/>
      <c r="BC168" s="447"/>
      <c r="BD168" s="447">
        <v>1</v>
      </c>
      <c r="BE168" s="447">
        <v>1</v>
      </c>
      <c r="BF168" s="447"/>
      <c r="BG168" s="447"/>
    </row>
    <row r="169" spans="1:59" hidden="1" x14ac:dyDescent="0.2">
      <c r="A169" s="8"/>
      <c r="B169" s="8"/>
      <c r="C169" s="8"/>
      <c r="D169" s="8"/>
      <c r="E169" s="8"/>
      <c r="F169" s="8"/>
      <c r="G169" s="8"/>
      <c r="H169" s="8"/>
      <c r="I169" s="8"/>
      <c r="J169" s="501"/>
      <c r="K169" s="526" t="s">
        <v>243</v>
      </c>
      <c r="L169" s="527"/>
      <c r="M169" s="527"/>
      <c r="N169" s="527"/>
      <c r="O169" s="527"/>
      <c r="U169" s="446"/>
      <c r="AI169" s="450" t="s">
        <v>1946</v>
      </c>
      <c r="AJ169" s="497">
        <v>36</v>
      </c>
      <c r="AK169" s="45" t="s">
        <v>3246</v>
      </c>
      <c r="AN169" s="732"/>
      <c r="AO169" s="497">
        <v>36</v>
      </c>
      <c r="AP169" s="450"/>
      <c r="AQ169" s="450"/>
      <c r="AR169" s="450"/>
      <c r="AS169" s="450"/>
      <c r="AT169" s="652">
        <v>1</v>
      </c>
      <c r="AU169" s="652">
        <v>1</v>
      </c>
      <c r="AV169" s="450"/>
      <c r="AW169" s="45">
        <v>60</v>
      </c>
      <c r="AX169" s="500" t="s">
        <v>2881</v>
      </c>
      <c r="AZ169" s="732"/>
      <c r="BA169" s="497">
        <v>36</v>
      </c>
      <c r="BB169" s="447"/>
      <c r="BC169" s="447"/>
      <c r="BD169" s="447">
        <v>1</v>
      </c>
      <c r="BE169" s="447">
        <v>1</v>
      </c>
      <c r="BF169" s="447"/>
      <c r="BG169" s="447"/>
    </row>
    <row r="170" spans="1:59" hidden="1" x14ac:dyDescent="0.2">
      <c r="A170" s="8"/>
      <c r="B170" s="8"/>
      <c r="C170" s="8"/>
      <c r="D170" s="8"/>
      <c r="E170" s="8"/>
      <c r="F170" s="8"/>
      <c r="G170" s="8"/>
      <c r="H170" s="8"/>
      <c r="I170" s="8"/>
      <c r="J170" s="501"/>
      <c r="K170" s="526" t="s">
        <v>244</v>
      </c>
      <c r="L170" s="527"/>
      <c r="M170" s="527"/>
      <c r="N170" s="527"/>
      <c r="O170" s="527"/>
      <c r="U170" s="446"/>
      <c r="AI170" s="544" t="s">
        <v>3005</v>
      </c>
      <c r="AJ170" s="497">
        <v>37</v>
      </c>
      <c r="AK170" s="45" t="s">
        <v>3247</v>
      </c>
      <c r="AN170" s="530"/>
      <c r="AO170" s="545">
        <v>37</v>
      </c>
      <c r="AP170" s="450"/>
      <c r="AQ170" s="450"/>
      <c r="AR170" s="450"/>
      <c r="AS170" s="450"/>
      <c r="AT170" s="652">
        <v>1</v>
      </c>
      <c r="AU170" s="652">
        <v>1</v>
      </c>
      <c r="AV170" s="450"/>
      <c r="AW170" s="45">
        <v>80</v>
      </c>
      <c r="AX170" s="500" t="s">
        <v>3010</v>
      </c>
      <c r="AZ170" s="733"/>
      <c r="BA170" s="497">
        <v>37</v>
      </c>
      <c r="BB170" s="447"/>
      <c r="BC170" s="447"/>
      <c r="BD170" s="447">
        <v>1</v>
      </c>
      <c r="BE170" s="447">
        <v>1</v>
      </c>
      <c r="BF170" s="447"/>
      <c r="BG170" s="447"/>
    </row>
    <row r="171" spans="1:59" hidden="1" x14ac:dyDescent="0.2">
      <c r="A171" s="8"/>
      <c r="B171" s="8"/>
      <c r="C171" s="8"/>
      <c r="D171" s="8"/>
      <c r="E171" s="8"/>
      <c r="F171" s="8"/>
      <c r="G171" s="8"/>
      <c r="H171" s="8"/>
      <c r="I171" s="8"/>
      <c r="J171" s="501"/>
      <c r="K171" s="526" t="s">
        <v>257</v>
      </c>
      <c r="L171" s="527"/>
      <c r="M171" s="527"/>
      <c r="N171" s="527"/>
      <c r="O171" s="527"/>
      <c r="U171" s="446"/>
      <c r="AI171" s="540" t="s">
        <v>1947</v>
      </c>
      <c r="AJ171" s="543">
        <v>38</v>
      </c>
      <c r="AK171" s="531" t="s">
        <v>214</v>
      </c>
      <c r="AL171" s="531"/>
      <c r="AN171" s="730" t="s">
        <v>1820</v>
      </c>
      <c r="AO171" s="543">
        <v>38</v>
      </c>
      <c r="AP171" s="540">
        <v>1</v>
      </c>
      <c r="AQ171" s="540">
        <v>1</v>
      </c>
      <c r="AR171" s="540"/>
      <c r="AS171" s="540"/>
      <c r="AT171" s="540"/>
      <c r="AU171" s="540"/>
      <c r="AV171" s="540"/>
      <c r="AW171" s="531">
        <v>2</v>
      </c>
      <c r="AX171" s="500"/>
      <c r="AZ171" s="730" t="s">
        <v>609</v>
      </c>
      <c r="BA171" s="543">
        <v>38</v>
      </c>
      <c r="BB171" s="540"/>
      <c r="BC171" s="540"/>
      <c r="BD171" s="540">
        <v>1</v>
      </c>
      <c r="BE171" s="540">
        <v>1</v>
      </c>
      <c r="BF171" s="540"/>
      <c r="BG171" s="540"/>
    </row>
    <row r="172" spans="1:59" hidden="1" x14ac:dyDescent="0.2">
      <c r="A172" s="8"/>
      <c r="B172" s="8"/>
      <c r="C172" s="8"/>
      <c r="D172" s="8"/>
      <c r="E172" s="8"/>
      <c r="F172" s="8"/>
      <c r="G172" s="8"/>
      <c r="H172" s="8"/>
      <c r="I172" s="8"/>
      <c r="J172" s="501"/>
      <c r="K172" s="526" t="s">
        <v>256</v>
      </c>
      <c r="L172" s="527"/>
      <c r="M172" s="527"/>
      <c r="N172" s="527"/>
      <c r="O172" s="527"/>
      <c r="U172" s="446"/>
      <c r="AI172" s="540" t="s">
        <v>1948</v>
      </c>
      <c r="AJ172" s="543">
        <v>39</v>
      </c>
      <c r="AK172" s="531" t="s">
        <v>215</v>
      </c>
      <c r="AL172" s="531"/>
      <c r="AN172" s="730"/>
      <c r="AO172" s="543">
        <v>39</v>
      </c>
      <c r="AP172" s="540">
        <v>1</v>
      </c>
      <c r="AQ172" s="540">
        <v>1</v>
      </c>
      <c r="AR172" s="540"/>
      <c r="AS172" s="540"/>
      <c r="AT172" s="540"/>
      <c r="AU172" s="540"/>
      <c r="AV172" s="540"/>
      <c r="AW172" s="531">
        <v>4</v>
      </c>
      <c r="AX172" s="500"/>
      <c r="AZ172" s="730"/>
      <c r="BA172" s="543">
        <v>39</v>
      </c>
      <c r="BB172" s="540"/>
      <c r="BC172" s="540"/>
      <c r="BD172" s="540">
        <v>1</v>
      </c>
      <c r="BE172" s="540">
        <v>1</v>
      </c>
      <c r="BF172" s="540"/>
      <c r="BG172" s="540"/>
    </row>
    <row r="173" spans="1:59" hidden="1" x14ac:dyDescent="0.2">
      <c r="A173" s="8"/>
      <c r="B173" s="8"/>
      <c r="C173" s="8"/>
      <c r="D173" s="8"/>
      <c r="E173" s="8"/>
      <c r="F173" s="8"/>
      <c r="G173" s="8"/>
      <c r="H173" s="8"/>
      <c r="I173" s="8"/>
      <c r="J173" s="501"/>
      <c r="K173" s="526" t="s">
        <v>255</v>
      </c>
      <c r="L173" s="527"/>
      <c r="M173" s="527"/>
      <c r="N173" s="527"/>
      <c r="O173" s="527"/>
      <c r="U173" s="446"/>
      <c r="AI173" s="540" t="s">
        <v>1949</v>
      </c>
      <c r="AJ173" s="543">
        <v>40</v>
      </c>
      <c r="AK173" s="531" t="s">
        <v>216</v>
      </c>
      <c r="AL173" s="531"/>
      <c r="AN173" s="730"/>
      <c r="AO173" s="543">
        <v>40</v>
      </c>
      <c r="AP173" s="540">
        <v>1</v>
      </c>
      <c r="AQ173" s="540">
        <v>1</v>
      </c>
      <c r="AR173" s="540">
        <v>1</v>
      </c>
      <c r="AS173" s="540">
        <v>1</v>
      </c>
      <c r="AT173" s="540">
        <v>1</v>
      </c>
      <c r="AU173" s="540">
        <v>1</v>
      </c>
      <c r="AV173" s="540">
        <v>1</v>
      </c>
      <c r="AW173" s="531">
        <v>6</v>
      </c>
      <c r="AX173" s="500"/>
      <c r="AZ173" s="730"/>
      <c r="BA173" s="543">
        <v>40</v>
      </c>
      <c r="BB173" s="540"/>
      <c r="BC173" s="540"/>
      <c r="BD173" s="540">
        <v>1</v>
      </c>
      <c r="BE173" s="540">
        <v>1</v>
      </c>
      <c r="BF173" s="540"/>
      <c r="BG173" s="540"/>
    </row>
    <row r="174" spans="1:59" hidden="1" x14ac:dyDescent="0.2">
      <c r="A174" s="8"/>
      <c r="B174" s="8"/>
      <c r="C174" s="8"/>
      <c r="D174" s="8"/>
      <c r="E174" s="8"/>
      <c r="F174" s="8"/>
      <c r="G174" s="8"/>
      <c r="H174" s="8"/>
      <c r="I174" s="8"/>
      <c r="J174" s="501"/>
      <c r="K174" s="526" t="s">
        <v>1220</v>
      </c>
      <c r="L174" s="527"/>
      <c r="M174" s="527"/>
      <c r="N174" s="527"/>
      <c r="O174" s="527"/>
      <c r="U174" s="446"/>
      <c r="AI174" s="540" t="s">
        <v>1950</v>
      </c>
      <c r="AJ174" s="543">
        <v>41</v>
      </c>
      <c r="AK174" s="531" t="s">
        <v>217</v>
      </c>
      <c r="AL174" s="531"/>
      <c r="AN174" s="730"/>
      <c r="AO174" s="543">
        <v>41</v>
      </c>
      <c r="AP174" s="540"/>
      <c r="AQ174" s="540"/>
      <c r="AR174" s="540">
        <v>1</v>
      </c>
      <c r="AS174" s="540">
        <v>1</v>
      </c>
      <c r="AT174" s="540">
        <v>1</v>
      </c>
      <c r="AU174" s="540">
        <v>1</v>
      </c>
      <c r="AV174" s="540">
        <v>1</v>
      </c>
      <c r="AW174" s="531">
        <v>10</v>
      </c>
      <c r="AX174" s="500"/>
      <c r="AZ174" s="730"/>
      <c r="BA174" s="543">
        <v>41</v>
      </c>
      <c r="BB174" s="540"/>
      <c r="BC174" s="540"/>
      <c r="BD174" s="540">
        <v>1</v>
      </c>
      <c r="BE174" s="540">
        <v>1</v>
      </c>
      <c r="BF174" s="540"/>
      <c r="BG174" s="540"/>
    </row>
    <row r="175" spans="1:59" hidden="1" x14ac:dyDescent="0.2">
      <c r="A175" s="8"/>
      <c r="B175" s="8"/>
      <c r="C175" s="8"/>
      <c r="D175" s="8"/>
      <c r="E175" s="8"/>
      <c r="F175" s="8"/>
      <c r="G175" s="8"/>
      <c r="H175" s="8"/>
      <c r="I175" s="8"/>
      <c r="J175" s="501"/>
      <c r="K175" s="526" t="s">
        <v>1218</v>
      </c>
      <c r="L175" s="527"/>
      <c r="M175" s="527"/>
      <c r="N175" s="527"/>
      <c r="O175" s="527"/>
      <c r="U175" s="446"/>
      <c r="AI175" s="540" t="s">
        <v>1821</v>
      </c>
      <c r="AJ175" s="543">
        <v>42</v>
      </c>
      <c r="AK175" s="531" t="s">
        <v>218</v>
      </c>
      <c r="AL175" s="531"/>
      <c r="AN175" s="730"/>
      <c r="AO175" s="543">
        <v>42</v>
      </c>
      <c r="AP175" s="540"/>
      <c r="AQ175" s="540"/>
      <c r="AR175" s="540">
        <v>1</v>
      </c>
      <c r="AS175" s="540">
        <v>1</v>
      </c>
      <c r="AT175" s="540">
        <v>1</v>
      </c>
      <c r="AU175" s="540">
        <v>1</v>
      </c>
      <c r="AV175" s="540">
        <v>1</v>
      </c>
      <c r="AW175" s="531">
        <v>20</v>
      </c>
      <c r="AX175" s="500"/>
      <c r="AZ175" s="730"/>
      <c r="BA175" s="543">
        <v>42</v>
      </c>
      <c r="BB175" s="540"/>
      <c r="BC175" s="540"/>
      <c r="BD175" s="540">
        <v>1</v>
      </c>
      <c r="BE175" s="540">
        <v>1</v>
      </c>
      <c r="BF175" s="540"/>
      <c r="BG175" s="540"/>
    </row>
    <row r="176" spans="1:59" hidden="1" x14ac:dyDescent="0.2">
      <c r="A176" s="8"/>
      <c r="B176" s="8"/>
      <c r="C176" s="8"/>
      <c r="D176" s="8"/>
      <c r="E176" s="8"/>
      <c r="F176" s="8"/>
      <c r="G176" s="8"/>
      <c r="H176" s="8"/>
      <c r="I176" s="8"/>
      <c r="J176" s="501"/>
      <c r="K176" s="526" t="s">
        <v>1217</v>
      </c>
      <c r="L176" s="527"/>
      <c r="M176" s="527"/>
      <c r="N176" s="527"/>
      <c r="O176" s="527"/>
      <c r="AI176" s="540" t="s">
        <v>1951</v>
      </c>
      <c r="AJ176" s="543">
        <v>43</v>
      </c>
      <c r="AK176" s="531" t="s">
        <v>219</v>
      </c>
      <c r="AL176" s="531"/>
      <c r="AN176" s="730"/>
      <c r="AO176" s="543">
        <v>43</v>
      </c>
      <c r="AP176" s="540"/>
      <c r="AQ176" s="540"/>
      <c r="AR176" s="540">
        <v>1</v>
      </c>
      <c r="AS176" s="540">
        <v>1</v>
      </c>
      <c r="AT176" s="540">
        <v>1</v>
      </c>
      <c r="AU176" s="540">
        <v>1</v>
      </c>
      <c r="AV176" s="540">
        <v>1</v>
      </c>
      <c r="AW176" s="531">
        <v>27</v>
      </c>
      <c r="AX176" s="500"/>
      <c r="AZ176" s="730"/>
      <c r="BA176" s="543">
        <v>43</v>
      </c>
      <c r="BB176" s="540"/>
      <c r="BC176" s="540"/>
      <c r="BD176" s="540">
        <v>1</v>
      </c>
      <c r="BE176" s="540">
        <v>1</v>
      </c>
      <c r="BF176" s="540"/>
      <c r="BG176" s="540"/>
    </row>
    <row r="177" spans="1:67" hidden="1" x14ac:dyDescent="0.2">
      <c r="A177" s="8"/>
      <c r="B177" s="8"/>
      <c r="C177" s="8"/>
      <c r="D177" s="8"/>
      <c r="E177" s="8"/>
      <c r="F177" s="8"/>
      <c r="G177" s="8"/>
      <c r="H177" s="8"/>
      <c r="I177" s="8"/>
      <c r="J177" s="501"/>
      <c r="K177" s="526" t="s">
        <v>1216</v>
      </c>
      <c r="L177" s="527"/>
      <c r="M177" s="527"/>
      <c r="N177" s="527"/>
      <c r="O177" s="527"/>
      <c r="AI177" s="540" t="s">
        <v>1952</v>
      </c>
      <c r="AJ177" s="543">
        <v>44</v>
      </c>
      <c r="AK177" s="531" t="s">
        <v>220</v>
      </c>
      <c r="AL177" s="531"/>
      <c r="AN177" s="730"/>
      <c r="AO177" s="543">
        <v>44</v>
      </c>
      <c r="AP177" s="540"/>
      <c r="AQ177" s="540"/>
      <c r="AR177" s="540"/>
      <c r="AS177" s="540"/>
      <c r="AT177" s="540">
        <v>1</v>
      </c>
      <c r="AU177" s="540">
        <v>1</v>
      </c>
      <c r="AV177" s="540">
        <v>1</v>
      </c>
      <c r="AW177" s="531">
        <v>40</v>
      </c>
      <c r="AX177" s="500"/>
      <c r="AZ177" s="730"/>
      <c r="BA177" s="543">
        <v>44</v>
      </c>
      <c r="BB177" s="540"/>
      <c r="BC177" s="540"/>
      <c r="BD177" s="540">
        <v>1</v>
      </c>
      <c r="BE177" s="540">
        <v>1</v>
      </c>
      <c r="BF177" s="540"/>
      <c r="BG177" s="540"/>
    </row>
    <row r="178" spans="1:67" hidden="1" x14ac:dyDescent="0.2">
      <c r="A178" s="8"/>
      <c r="B178" s="8"/>
      <c r="C178" s="8"/>
      <c r="D178" s="8"/>
      <c r="E178" s="8"/>
      <c r="F178" s="8"/>
      <c r="G178" s="8"/>
      <c r="H178" s="8"/>
      <c r="I178" s="8"/>
      <c r="J178" s="8"/>
      <c r="K178" s="526" t="s">
        <v>1215</v>
      </c>
      <c r="L178" s="528"/>
      <c r="M178" s="528"/>
      <c r="N178" s="448"/>
      <c r="O178" s="448"/>
      <c r="AI178" s="540" t="s">
        <v>1953</v>
      </c>
      <c r="AJ178" s="543">
        <v>45</v>
      </c>
      <c r="AK178" s="531" t="s">
        <v>221</v>
      </c>
      <c r="AL178" s="531"/>
      <c r="AN178" s="730"/>
      <c r="AO178" s="543">
        <v>45</v>
      </c>
      <c r="AP178" s="540"/>
      <c r="AQ178" s="540"/>
      <c r="AR178" s="540"/>
      <c r="AS178" s="540"/>
      <c r="AT178" s="540">
        <v>1</v>
      </c>
      <c r="AU178" s="540">
        <v>1</v>
      </c>
      <c r="AV178" s="540">
        <v>1</v>
      </c>
      <c r="AW178" s="531">
        <v>60</v>
      </c>
      <c r="AX178" s="500"/>
      <c r="AZ178" s="730"/>
      <c r="BA178" s="543">
        <v>45</v>
      </c>
      <c r="BB178" s="540"/>
      <c r="BC178" s="540"/>
      <c r="BD178" s="540">
        <v>1</v>
      </c>
      <c r="BE178" s="540">
        <v>1</v>
      </c>
      <c r="BF178" s="540"/>
      <c r="BG178" s="540"/>
    </row>
    <row r="179" spans="1:67" hidden="1" x14ac:dyDescent="0.2">
      <c r="A179" s="8"/>
      <c r="B179" s="8"/>
      <c r="C179" s="8"/>
      <c r="D179" s="8"/>
      <c r="E179" s="8"/>
      <c r="F179" s="8"/>
      <c r="G179" s="8"/>
      <c r="H179" s="8"/>
      <c r="I179" s="8"/>
      <c r="J179" s="449"/>
      <c r="K179" s="449"/>
      <c r="L179" s="449"/>
      <c r="M179" s="449"/>
      <c r="N179" s="449"/>
      <c r="O179" s="449"/>
      <c r="AI179" s="506" t="s">
        <v>1954</v>
      </c>
      <c r="AJ179" s="497">
        <v>46</v>
      </c>
      <c r="AK179" s="45" t="s">
        <v>224</v>
      </c>
      <c r="AN179" s="734" t="s">
        <v>610</v>
      </c>
      <c r="AO179" s="497">
        <v>46</v>
      </c>
      <c r="AP179" s="450"/>
      <c r="AQ179" s="450">
        <v>1</v>
      </c>
      <c r="AR179" s="450"/>
      <c r="AS179" s="450"/>
      <c r="AT179" s="450"/>
      <c r="AU179" s="450"/>
      <c r="AV179" s="450"/>
      <c r="AW179" s="45">
        <v>45</v>
      </c>
      <c r="AX179" s="500"/>
      <c r="AZ179" s="734" t="s">
        <v>610</v>
      </c>
      <c r="BA179" s="497">
        <v>46</v>
      </c>
      <c r="BB179" s="447"/>
      <c r="BC179" s="447"/>
      <c r="BD179" s="447"/>
      <c r="BE179" s="447"/>
      <c r="BF179" s="447">
        <v>1</v>
      </c>
      <c r="BG179" s="447">
        <v>1</v>
      </c>
    </row>
    <row r="180" spans="1:67" hidden="1" x14ac:dyDescent="0.2">
      <c r="A180" s="8"/>
      <c r="B180" s="8"/>
      <c r="C180" s="8"/>
      <c r="D180" s="8"/>
      <c r="E180" s="8"/>
      <c r="F180" s="8"/>
      <c r="G180" s="8"/>
      <c r="H180" s="8"/>
      <c r="I180" s="8"/>
      <c r="J180" s="449"/>
      <c r="K180" s="449"/>
      <c r="L180" s="449"/>
      <c r="M180" s="449"/>
      <c r="N180" s="449"/>
      <c r="O180" s="449"/>
      <c r="AI180" s="506" t="s">
        <v>1955</v>
      </c>
      <c r="AJ180" s="497">
        <v>47</v>
      </c>
      <c r="AK180" s="45" t="s">
        <v>222</v>
      </c>
      <c r="AN180" s="734"/>
      <c r="AO180" s="497">
        <v>47</v>
      </c>
      <c r="AP180" s="450"/>
      <c r="AQ180" s="450">
        <v>1</v>
      </c>
      <c r="AR180" s="450"/>
      <c r="AS180" s="450"/>
      <c r="AT180" s="450"/>
      <c r="AU180" s="450"/>
      <c r="AV180" s="450"/>
      <c r="AW180" s="45">
        <v>90</v>
      </c>
      <c r="AX180" s="500"/>
      <c r="AZ180" s="734"/>
      <c r="BA180" s="497">
        <v>47</v>
      </c>
      <c r="BB180" s="447"/>
      <c r="BC180" s="447"/>
      <c r="BD180" s="447"/>
      <c r="BE180" s="447"/>
      <c r="BF180" s="447">
        <v>1</v>
      </c>
      <c r="BG180" s="447">
        <v>1</v>
      </c>
    </row>
    <row r="181" spans="1:67" hidden="1" x14ac:dyDescent="0.2">
      <c r="A181" s="8"/>
      <c r="B181" s="8"/>
      <c r="C181" s="8"/>
      <c r="D181" s="8"/>
      <c r="E181" s="8"/>
      <c r="F181" s="8"/>
      <c r="G181" s="8"/>
      <c r="H181" s="8"/>
      <c r="I181" s="8"/>
      <c r="J181" s="449"/>
      <c r="K181" s="449"/>
      <c r="L181" s="449"/>
      <c r="M181" s="449"/>
      <c r="N181" s="449"/>
      <c r="O181" s="449"/>
      <c r="AI181" s="506" t="s">
        <v>1956</v>
      </c>
      <c r="AJ181" s="497">
        <v>48</v>
      </c>
      <c r="AK181" s="45" t="s">
        <v>223</v>
      </c>
      <c r="AN181" s="734"/>
      <c r="AO181" s="497">
        <v>48</v>
      </c>
      <c r="AP181" s="450"/>
      <c r="AQ181" s="450">
        <v>1</v>
      </c>
      <c r="AR181" s="450"/>
      <c r="AS181" s="450"/>
      <c r="AT181" s="450"/>
      <c r="AU181" s="450"/>
      <c r="AV181" s="450"/>
      <c r="AW181" s="45">
        <v>180</v>
      </c>
      <c r="AX181" s="500"/>
      <c r="AZ181" s="734"/>
      <c r="BA181" s="497">
        <v>48</v>
      </c>
      <c r="BB181" s="447"/>
      <c r="BC181" s="447"/>
      <c r="BD181" s="447"/>
      <c r="BE181" s="447"/>
      <c r="BF181" s="447">
        <v>1</v>
      </c>
      <c r="BG181" s="447">
        <v>1</v>
      </c>
    </row>
    <row r="182" spans="1:67" hidden="1" x14ac:dyDescent="0.2">
      <c r="A182" s="8"/>
      <c r="B182" s="8"/>
      <c r="C182" s="8"/>
      <c r="D182" s="8"/>
      <c r="E182" s="8"/>
      <c r="F182" s="8"/>
      <c r="G182" s="8"/>
      <c r="H182" s="8"/>
      <c r="I182" s="8"/>
      <c r="J182" s="8"/>
      <c r="K182" s="501"/>
      <c r="L182" s="528"/>
      <c r="M182" s="528"/>
      <c r="N182" s="448"/>
      <c r="O182" s="448"/>
      <c r="AO182" s="35"/>
      <c r="AP182" s="450" t="s">
        <v>601</v>
      </c>
      <c r="AQ182" s="450" t="s">
        <v>2334</v>
      </c>
      <c r="AR182" s="450" t="s">
        <v>602</v>
      </c>
      <c r="AS182" s="450" t="s">
        <v>603</v>
      </c>
      <c r="AT182" s="450" t="s">
        <v>604</v>
      </c>
      <c r="AU182" s="450" t="s">
        <v>605</v>
      </c>
      <c r="AV182" s="450" t="s">
        <v>606</v>
      </c>
      <c r="BB182" s="507" t="s">
        <v>629</v>
      </c>
      <c r="BC182" s="507" t="s">
        <v>23</v>
      </c>
      <c r="BD182" s="529" t="s">
        <v>2725</v>
      </c>
      <c r="BE182" s="529" t="s">
        <v>2727</v>
      </c>
      <c r="BF182" s="507" t="s">
        <v>2725</v>
      </c>
      <c r="BG182" s="507" t="s">
        <v>2727</v>
      </c>
    </row>
    <row r="183" spans="1:67" hidden="1" x14ac:dyDescent="0.2">
      <c r="A183" s="8"/>
      <c r="B183" s="8"/>
      <c r="C183" s="8"/>
      <c r="D183" s="8"/>
      <c r="E183" s="8"/>
      <c r="F183" s="8"/>
      <c r="G183" s="8"/>
      <c r="H183" s="8"/>
      <c r="I183" s="8"/>
      <c r="J183" s="8"/>
      <c r="K183" s="8"/>
      <c r="L183" s="528"/>
      <c r="M183" s="528"/>
      <c r="N183" s="448"/>
      <c r="O183" s="448"/>
      <c r="U183" s="45" t="s">
        <v>2133</v>
      </c>
      <c r="V183" s="45" t="str">
        <f>MID(D93,1,5)</f>
        <v>UR080</v>
      </c>
      <c r="AO183" s="35"/>
    </row>
    <row r="184" spans="1:67" hidden="1" x14ac:dyDescent="0.2">
      <c r="A184" s="8"/>
      <c r="B184" s="8"/>
      <c r="C184" s="8"/>
      <c r="D184" s="8"/>
      <c r="E184" s="8"/>
      <c r="F184" s="8"/>
      <c r="G184" s="8"/>
      <c r="H184" s="8"/>
      <c r="I184" s="8"/>
      <c r="J184" s="8"/>
      <c r="K184" s="8"/>
      <c r="L184" s="528"/>
      <c r="M184" s="528"/>
      <c r="N184" s="448"/>
      <c r="O184" s="448"/>
      <c r="U184" s="32" t="s">
        <v>1228</v>
      </c>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row>
    <row r="185" spans="1:67" ht="53.25" x14ac:dyDescent="0.2">
      <c r="A185" s="8"/>
      <c r="B185" s="8"/>
      <c r="C185" s="8"/>
      <c r="D185" s="8"/>
      <c r="E185" s="8"/>
      <c r="F185" s="8"/>
      <c r="G185" s="8"/>
      <c r="H185" s="8"/>
      <c r="I185" s="8"/>
      <c r="J185" s="8"/>
      <c r="K185" s="8"/>
      <c r="L185" s="528"/>
      <c r="M185" s="528"/>
      <c r="N185" s="448"/>
      <c r="O185" s="448"/>
      <c r="U185" s="508" t="s">
        <v>1214</v>
      </c>
      <c r="V185" s="504" t="s">
        <v>1215</v>
      </c>
      <c r="W185" s="504" t="s">
        <v>245</v>
      </c>
      <c r="X185" s="504" t="s">
        <v>246</v>
      </c>
      <c r="Y185" s="504" t="s">
        <v>247</v>
      </c>
      <c r="Z185" s="504" t="s">
        <v>248</v>
      </c>
      <c r="AA185" s="504" t="s">
        <v>1216</v>
      </c>
      <c r="AB185" s="504" t="s">
        <v>249</v>
      </c>
      <c r="AC185" s="504" t="s">
        <v>250</v>
      </c>
      <c r="AD185" s="504" t="s">
        <v>1217</v>
      </c>
      <c r="AE185" s="504" t="s">
        <v>251</v>
      </c>
      <c r="AF185" s="504" t="s">
        <v>1218</v>
      </c>
      <c r="AG185" s="504" t="s">
        <v>252</v>
      </c>
      <c r="AH185" s="504" t="s">
        <v>253</v>
      </c>
      <c r="AI185" s="504" t="s">
        <v>254</v>
      </c>
      <c r="AJ185" s="504" t="s">
        <v>1219</v>
      </c>
      <c r="AK185" s="504" t="s">
        <v>1220</v>
      </c>
      <c r="AL185" s="504" t="s">
        <v>255</v>
      </c>
      <c r="AM185" s="504" t="s">
        <v>256</v>
      </c>
      <c r="AN185" s="504" t="s">
        <v>257</v>
      </c>
      <c r="AO185" s="504" t="s">
        <v>244</v>
      </c>
      <c r="AP185" s="504" t="s">
        <v>243</v>
      </c>
      <c r="AQ185" s="510" t="s">
        <v>1224</v>
      </c>
      <c r="AR185" s="511" t="str">
        <f t="shared" ref="AR185:BB185" si="42">V185</f>
        <v>DP030D22RU</v>
      </c>
      <c r="AS185" s="511" t="str">
        <f t="shared" si="42"/>
        <v>DP035D22R0</v>
      </c>
      <c r="AT185" s="511" t="str">
        <f t="shared" si="42"/>
        <v>DP045D22R0</v>
      </c>
      <c r="AU185" s="511" t="str">
        <f t="shared" si="42"/>
        <v>DP060D22R0</v>
      </c>
      <c r="AV185" s="511" t="str">
        <f t="shared" si="42"/>
        <v>DP085D22R0</v>
      </c>
      <c r="AW185" s="511" t="str">
        <f t="shared" si="42"/>
        <v>DP030D30RU</v>
      </c>
      <c r="AX185" s="511" t="str">
        <f t="shared" si="42"/>
        <v>DP035D30R0</v>
      </c>
      <c r="AY185" s="511" t="str">
        <f t="shared" si="42"/>
        <v>DP045D30R0</v>
      </c>
      <c r="AZ185" s="511" t="str">
        <f t="shared" si="42"/>
        <v>DP045D30RU</v>
      </c>
      <c r="BA185" s="511" t="str">
        <f t="shared" si="42"/>
        <v>DP060D30R0</v>
      </c>
      <c r="BB185" s="511" t="str">
        <f t="shared" si="42"/>
        <v>DP060D30RU</v>
      </c>
      <c r="BC185" s="511" t="str">
        <f>AG185</f>
        <v>DP085D30R0</v>
      </c>
      <c r="BD185" s="511" t="str">
        <f>AH185</f>
        <v>DP105D30R0</v>
      </c>
      <c r="BE185" s="511" t="str">
        <f>AI185</f>
        <v>DP125D30R0</v>
      </c>
      <c r="BF185" s="511" t="str">
        <f>AJ185</f>
        <v>DP165D30R0</v>
      </c>
      <c r="BG185" s="511"/>
      <c r="BH185" s="511" t="str">
        <f t="shared" ref="BH185:BM185" si="43">AK185</f>
        <v>DP060D40RU</v>
      </c>
      <c r="BI185" s="511" t="str">
        <f t="shared" si="43"/>
        <v>DP085D40R0</v>
      </c>
      <c r="BJ185" s="511" t="str">
        <f t="shared" si="43"/>
        <v>DP105D40R0</v>
      </c>
      <c r="BK185" s="511" t="str">
        <f t="shared" si="43"/>
        <v>DP125D40R0</v>
      </c>
      <c r="BL185" s="511" t="str">
        <f t="shared" si="43"/>
        <v>DP165D40R0</v>
      </c>
      <c r="BM185" s="511" t="str">
        <f t="shared" si="43"/>
        <v>DP205D40R0</v>
      </c>
      <c r="BN185" s="32"/>
      <c r="BO185" s="32"/>
    </row>
    <row r="186" spans="1:67" x14ac:dyDescent="0.2">
      <c r="A186" s="8"/>
      <c r="B186" s="8"/>
      <c r="C186" s="8"/>
      <c r="D186" s="8"/>
      <c r="E186" s="8"/>
      <c r="F186" s="8"/>
      <c r="G186" s="8"/>
      <c r="H186" s="8"/>
      <c r="I186" s="8"/>
      <c r="J186" s="8"/>
      <c r="K186" s="8"/>
      <c r="L186" s="528"/>
      <c r="M186" s="528"/>
      <c r="N186" s="448"/>
      <c r="O186" s="448"/>
      <c r="U186" s="501" t="s">
        <v>1221</v>
      </c>
      <c r="V186" s="738">
        <v>22</v>
      </c>
      <c r="W186" s="738"/>
      <c r="X186" s="738"/>
      <c r="Y186" s="738"/>
      <c r="Z186" s="738"/>
      <c r="AA186" s="512">
        <v>30</v>
      </c>
      <c r="AB186" s="513"/>
      <c r="AC186" s="513"/>
      <c r="AD186" s="513"/>
      <c r="AE186" s="513"/>
      <c r="AF186" s="513"/>
      <c r="AG186" s="513"/>
      <c r="AH186" s="513"/>
      <c r="AI186" s="513"/>
      <c r="AJ186" s="514"/>
      <c r="AK186" s="738">
        <v>40</v>
      </c>
      <c r="AL186" s="738"/>
      <c r="AM186" s="738"/>
      <c r="AN186" s="738"/>
      <c r="AO186" s="738"/>
      <c r="AP186" s="738"/>
      <c r="AQ186" s="32"/>
      <c r="AR186" s="32">
        <v>1</v>
      </c>
      <c r="AS186" s="32">
        <f>AR186+1</f>
        <v>2</v>
      </c>
      <c r="AT186" s="32">
        <f t="shared" ref="AT186:BM186" si="44">AS186+1</f>
        <v>3</v>
      </c>
      <c r="AU186" s="32">
        <f t="shared" si="44"/>
        <v>4</v>
      </c>
      <c r="AV186" s="32">
        <f t="shared" si="44"/>
        <v>5</v>
      </c>
      <c r="AW186" s="32">
        <f t="shared" si="44"/>
        <v>6</v>
      </c>
      <c r="AX186" s="32">
        <f t="shared" si="44"/>
        <v>7</v>
      </c>
      <c r="AY186" s="32">
        <f t="shared" si="44"/>
        <v>8</v>
      </c>
      <c r="AZ186" s="32">
        <f t="shared" si="44"/>
        <v>9</v>
      </c>
      <c r="BA186" s="32">
        <f t="shared" si="44"/>
        <v>10</v>
      </c>
      <c r="BB186" s="32">
        <f t="shared" si="44"/>
        <v>11</v>
      </c>
      <c r="BC186" s="32">
        <f t="shared" si="44"/>
        <v>12</v>
      </c>
      <c r="BD186" s="32">
        <f t="shared" si="44"/>
        <v>13</v>
      </c>
      <c r="BE186" s="32">
        <f t="shared" si="44"/>
        <v>14</v>
      </c>
      <c r="BF186" s="32">
        <f t="shared" si="44"/>
        <v>15</v>
      </c>
      <c r="BG186" s="32"/>
      <c r="BH186" s="32">
        <f>BF186+1</f>
        <v>16</v>
      </c>
      <c r="BI186" s="32">
        <f t="shared" si="44"/>
        <v>17</v>
      </c>
      <c r="BJ186" s="32">
        <f t="shared" si="44"/>
        <v>18</v>
      </c>
      <c r="BK186" s="32">
        <f t="shared" si="44"/>
        <v>19</v>
      </c>
      <c r="BL186" s="32">
        <f t="shared" si="44"/>
        <v>20</v>
      </c>
      <c r="BM186" s="32">
        <f t="shared" si="44"/>
        <v>21</v>
      </c>
      <c r="BN186" s="32"/>
      <c r="BO186" s="32"/>
    </row>
    <row r="187" spans="1:67" x14ac:dyDescent="0.2">
      <c r="A187" s="8"/>
      <c r="B187" s="8"/>
      <c r="C187" s="8"/>
      <c r="D187" s="8"/>
      <c r="E187" s="8"/>
      <c r="F187" s="8"/>
      <c r="G187" s="8"/>
      <c r="H187" s="8"/>
      <c r="I187" s="8"/>
      <c r="J187" s="8"/>
      <c r="K187" s="8"/>
      <c r="L187" s="528"/>
      <c r="M187" s="528"/>
      <c r="N187" s="448"/>
      <c r="O187" s="448"/>
      <c r="U187" s="501" t="s">
        <v>1222</v>
      </c>
      <c r="V187" s="738">
        <v>35</v>
      </c>
      <c r="W187" s="738"/>
      <c r="X187" s="738"/>
      <c r="Y187" s="738"/>
      <c r="Z187" s="738"/>
      <c r="AA187" s="512">
        <v>45</v>
      </c>
      <c r="AB187" s="513"/>
      <c r="AC187" s="513"/>
      <c r="AD187" s="513"/>
      <c r="AE187" s="513"/>
      <c r="AF187" s="513"/>
      <c r="AG187" s="513"/>
      <c r="AH187" s="513"/>
      <c r="AI187" s="513"/>
      <c r="AJ187" s="514"/>
      <c r="AK187" s="738">
        <v>60</v>
      </c>
      <c r="AL187" s="738"/>
      <c r="AM187" s="738"/>
      <c r="AN187" s="738"/>
      <c r="AO187" s="738"/>
      <c r="AP187" s="738"/>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row>
    <row r="188" spans="1:67" x14ac:dyDescent="0.2">
      <c r="A188" s="8"/>
      <c r="B188" s="8"/>
      <c r="C188" s="8"/>
      <c r="D188" s="8"/>
      <c r="E188" s="8"/>
      <c r="F188" s="8"/>
      <c r="G188" s="8"/>
      <c r="H188" s="8"/>
      <c r="I188" s="8"/>
      <c r="J188" s="8"/>
      <c r="K188" s="8"/>
      <c r="L188" s="528"/>
      <c r="M188" s="528"/>
      <c r="N188" s="448"/>
      <c r="O188" s="448"/>
      <c r="U188" s="501" t="s">
        <v>1223</v>
      </c>
      <c r="V188" s="504">
        <v>300</v>
      </c>
      <c r="W188" s="504">
        <v>350</v>
      </c>
      <c r="X188" s="504">
        <v>450</v>
      </c>
      <c r="Y188" s="504">
        <v>600</v>
      </c>
      <c r="Z188" s="504">
        <v>850</v>
      </c>
      <c r="AA188" s="504">
        <v>300</v>
      </c>
      <c r="AB188" s="504">
        <v>350</v>
      </c>
      <c r="AC188" s="504">
        <v>450</v>
      </c>
      <c r="AD188" s="504">
        <v>450</v>
      </c>
      <c r="AE188" s="504">
        <v>600</v>
      </c>
      <c r="AF188" s="504">
        <v>600</v>
      </c>
      <c r="AG188" s="504">
        <v>850</v>
      </c>
      <c r="AH188" s="504">
        <v>1050</v>
      </c>
      <c r="AI188" s="504">
        <v>1250</v>
      </c>
      <c r="AJ188" s="504">
        <v>1650</v>
      </c>
      <c r="AK188" s="504">
        <v>600</v>
      </c>
      <c r="AL188" s="504">
        <v>850</v>
      </c>
      <c r="AM188" s="504">
        <v>1050</v>
      </c>
      <c r="AN188" s="504">
        <v>1250</v>
      </c>
      <c r="AO188" s="504">
        <v>1650</v>
      </c>
      <c r="AP188" s="504">
        <v>2050</v>
      </c>
      <c r="AQ188" s="32"/>
      <c r="AR188" s="32">
        <f t="shared" ref="AR188:BF188" si="45">IF(V188&gt;$E75,0,1)</f>
        <v>1</v>
      </c>
      <c r="AS188" s="32">
        <f t="shared" si="45"/>
        <v>1</v>
      </c>
      <c r="AT188" s="32">
        <f t="shared" si="45"/>
        <v>1</v>
      </c>
      <c r="AU188" s="32">
        <f t="shared" si="45"/>
        <v>1</v>
      </c>
      <c r="AV188" s="32">
        <f t="shared" si="45"/>
        <v>1</v>
      </c>
      <c r="AW188" s="32">
        <f t="shared" si="45"/>
        <v>1</v>
      </c>
      <c r="AX188" s="32">
        <f t="shared" si="45"/>
        <v>1</v>
      </c>
      <c r="AY188" s="32">
        <f t="shared" si="45"/>
        <v>1</v>
      </c>
      <c r="AZ188" s="32">
        <f t="shared" si="45"/>
        <v>1</v>
      </c>
      <c r="BA188" s="32">
        <f t="shared" si="45"/>
        <v>1</v>
      </c>
      <c r="BB188" s="32">
        <f t="shared" si="45"/>
        <v>1</v>
      </c>
      <c r="BC188" s="32">
        <f t="shared" si="45"/>
        <v>1</v>
      </c>
      <c r="BD188" s="32">
        <f t="shared" si="45"/>
        <v>1</v>
      </c>
      <c r="BE188" s="32">
        <f t="shared" si="45"/>
        <v>0</v>
      </c>
      <c r="BF188" s="32">
        <f t="shared" si="45"/>
        <v>0</v>
      </c>
      <c r="BG188" s="32"/>
      <c r="BH188" s="32">
        <f t="shared" ref="BH188:BM188" si="46">IF(AK188&gt;$E75,0,1)</f>
        <v>1</v>
      </c>
      <c r="BI188" s="32">
        <f t="shared" si="46"/>
        <v>1</v>
      </c>
      <c r="BJ188" s="32">
        <f t="shared" si="46"/>
        <v>1</v>
      </c>
      <c r="BK188" s="32">
        <f t="shared" si="46"/>
        <v>0</v>
      </c>
      <c r="BL188" s="32">
        <f t="shared" si="46"/>
        <v>0</v>
      </c>
      <c r="BM188" s="32">
        <f t="shared" si="46"/>
        <v>0</v>
      </c>
      <c r="BN188" s="32"/>
      <c r="BO188" s="32"/>
    </row>
    <row r="189" spans="1:67" x14ac:dyDescent="0.2">
      <c r="A189" s="8"/>
      <c r="B189" s="8"/>
      <c r="C189" s="8"/>
      <c r="D189" s="8"/>
      <c r="E189" s="8"/>
      <c r="F189" s="8"/>
      <c r="G189" s="8"/>
      <c r="H189" s="8"/>
      <c r="I189" s="8"/>
      <c r="J189" s="8"/>
      <c r="K189" s="8"/>
      <c r="L189" s="528"/>
      <c r="M189" s="528"/>
      <c r="N189" s="448"/>
      <c r="O189" s="448"/>
      <c r="U189" s="501" t="s">
        <v>936</v>
      </c>
      <c r="V189" s="501">
        <v>1</v>
      </c>
      <c r="W189" s="501">
        <v>1</v>
      </c>
      <c r="X189" s="501">
        <v>1</v>
      </c>
      <c r="Y189" s="501">
        <v>1</v>
      </c>
      <c r="Z189" s="501">
        <v>1</v>
      </c>
      <c r="AA189" s="501"/>
      <c r="AB189" s="501"/>
      <c r="AC189" s="501"/>
      <c r="AD189" s="501"/>
      <c r="AE189" s="501"/>
      <c r="AF189" s="501"/>
      <c r="AG189" s="501"/>
      <c r="AH189" s="501"/>
      <c r="AI189" s="501"/>
      <c r="AJ189" s="501"/>
      <c r="AK189" s="501"/>
      <c r="AL189" s="501"/>
      <c r="AM189" s="501"/>
      <c r="AN189" s="501"/>
      <c r="AO189" s="501"/>
      <c r="AP189" s="501"/>
      <c r="AQ189" s="35">
        <f>IF(U189=$V$183,1,0)</f>
        <v>0</v>
      </c>
      <c r="AR189" s="450" t="str">
        <f t="shared" ref="AR189:AR206" si="47">IF($AQ189=0,"",IF(AND(AR$188=1,V189&gt;0),V189,""))</f>
        <v/>
      </c>
      <c r="AS189" s="450" t="str">
        <f t="shared" ref="AS189:AS206" si="48">IF($AQ189=0,"",IF(AND(AS$188=1,W189&gt;0),W189,""))</f>
        <v/>
      </c>
      <c r="AT189" s="450" t="str">
        <f t="shared" ref="AT189:AT206" si="49">IF($AQ189=0,"",IF(AND(AT$188=1,X189&gt;0),X189,""))</f>
        <v/>
      </c>
      <c r="AU189" s="450" t="str">
        <f t="shared" ref="AU189:AU206" si="50">IF($AQ189=0,"",IF(AND(AU$188=1,Y189&gt;0),Y189,""))</f>
        <v/>
      </c>
      <c r="AV189" s="450" t="str">
        <f t="shared" ref="AV189:AV206" si="51">IF($AQ189=0,"",IF(AND(AV$188=1,Z189&gt;0),Z189,""))</f>
        <v/>
      </c>
      <c r="AW189" s="450" t="str">
        <f t="shared" ref="AW189:AW206" si="52">IF($AQ189=0,"",IF(AND(AW$188=1,AA189&gt;0),AA189,""))</f>
        <v/>
      </c>
      <c r="AX189" s="450" t="str">
        <f t="shared" ref="AX189:AX206" si="53">IF($AQ189=0,"",IF(AND(AX$188=1,AB189&gt;0),AB189,""))</f>
        <v/>
      </c>
      <c r="AY189" s="450" t="str">
        <f t="shared" ref="AY189:AY206" si="54">IF($AQ189=0,"",IF(AND(AY$188=1,AC189&gt;0),AC189,""))</f>
        <v/>
      </c>
      <c r="AZ189" s="450" t="str">
        <f t="shared" ref="AZ189:AZ206" si="55">IF($AQ189=0,"",IF(AND(AZ$188=1,AD189&gt;0),AD189,""))</f>
        <v/>
      </c>
      <c r="BA189" s="450" t="str">
        <f t="shared" ref="BA189:BA206" si="56">IF($AQ189=0,"",IF(AND(BA$188=1,AE189&gt;0),AE189,""))</f>
        <v/>
      </c>
      <c r="BB189" s="450" t="str">
        <f t="shared" ref="BB189:BB206" si="57">IF($AQ189=0,"",IF(AND(BB$188=1,AF189&gt;0),AF189,""))</f>
        <v/>
      </c>
      <c r="BC189" s="450" t="str">
        <f t="shared" ref="BC189:BC206" si="58">IF($AQ189=0,"",IF(AND(BC$188=1,AG189&gt;0),AG189,""))</f>
        <v/>
      </c>
      <c r="BD189" s="450" t="str">
        <f t="shared" ref="BD189:BD206" si="59">IF($AQ189=0,"",IF(AND(BD$188=1,AH189&gt;0),AH189,""))</f>
        <v/>
      </c>
      <c r="BE189" s="450" t="str">
        <f t="shared" ref="BE189:BE206" si="60">IF($AQ189=0,"",IF(AND(BE$188=1,AI189&gt;0),AI189,""))</f>
        <v/>
      </c>
      <c r="BF189" s="450" t="str">
        <f t="shared" ref="BF189:BF206" si="61">IF($AQ189=0,"",IF(AND(BF$188=1,AJ189&gt;0),AJ189,""))</f>
        <v/>
      </c>
      <c r="BG189" s="450"/>
      <c r="BH189" s="450" t="str">
        <f t="shared" ref="BH189:BH206" si="62">IF($AQ189=0,"",IF(AND(BH$188=1,AK189&gt;0),AK189,""))</f>
        <v/>
      </c>
      <c r="BI189" s="450" t="str">
        <f t="shared" ref="BI189:BI206" si="63">IF($AQ189=0,"",IF(AND(BI$188=1,AL189&gt;0),AL189,""))</f>
        <v/>
      </c>
      <c r="BJ189" s="450" t="str">
        <f t="shared" ref="BJ189:BJ206" si="64">IF($AQ189=0,"",IF(AND(BJ$188=1,AM189&gt;0),AM189,""))</f>
        <v/>
      </c>
      <c r="BK189" s="450" t="str">
        <f t="shared" ref="BK189:BK206" si="65">IF($AQ189=0,"",IF(AND(BK$188=1,AN189&gt;0),AN189,""))</f>
        <v/>
      </c>
      <c r="BL189" s="450" t="str">
        <f t="shared" ref="BL189:BL206" si="66">IF($AQ189=0,"",IF(AND(BL$188=1,AO189&gt;0),AO189,""))</f>
        <v/>
      </c>
      <c r="BM189" s="450" t="str">
        <f t="shared" ref="BM189:BM206" si="67">IF($AQ189=0,"",IF(AND(BM$188=1,AP189&gt;0),AP189,""))</f>
        <v/>
      </c>
      <c r="BN189" s="32"/>
      <c r="BO189" s="32"/>
    </row>
    <row r="190" spans="1:67" x14ac:dyDescent="0.2">
      <c r="A190" s="8"/>
      <c r="B190" s="8"/>
      <c r="C190" s="8"/>
      <c r="D190" s="8"/>
      <c r="E190" s="8"/>
      <c r="F190" s="8"/>
      <c r="G190" s="8"/>
      <c r="H190" s="8"/>
      <c r="I190" s="8"/>
      <c r="J190" s="8"/>
      <c r="K190" s="8"/>
      <c r="L190" s="528"/>
      <c r="M190" s="528"/>
      <c r="N190" s="448"/>
      <c r="O190" s="448"/>
      <c r="U190" s="501" t="s">
        <v>937</v>
      </c>
      <c r="V190" s="501">
        <v>1</v>
      </c>
      <c r="W190" s="501">
        <v>1</v>
      </c>
      <c r="X190" s="501">
        <v>1</v>
      </c>
      <c r="Y190" s="501">
        <v>1</v>
      </c>
      <c r="Z190" s="501">
        <v>1</v>
      </c>
      <c r="AA190" s="501"/>
      <c r="AB190" s="501"/>
      <c r="AC190" s="501"/>
      <c r="AD190" s="501"/>
      <c r="AE190" s="501"/>
      <c r="AF190" s="501"/>
      <c r="AG190" s="501"/>
      <c r="AH190" s="501"/>
      <c r="AI190" s="501"/>
      <c r="AJ190" s="501"/>
      <c r="AK190" s="501"/>
      <c r="AL190" s="501"/>
      <c r="AM190" s="501"/>
      <c r="AN190" s="501"/>
      <c r="AO190" s="501"/>
      <c r="AP190" s="501"/>
      <c r="AQ190" s="35">
        <f t="shared" ref="AQ190:AQ216" si="68">IF(U190=$V$183,1,0)</f>
        <v>0</v>
      </c>
      <c r="AR190" s="450" t="str">
        <f t="shared" si="47"/>
        <v/>
      </c>
      <c r="AS190" s="450" t="str">
        <f t="shared" si="48"/>
        <v/>
      </c>
      <c r="AT190" s="450" t="str">
        <f t="shared" si="49"/>
        <v/>
      </c>
      <c r="AU190" s="450" t="str">
        <f t="shared" si="50"/>
        <v/>
      </c>
      <c r="AV190" s="450" t="str">
        <f t="shared" si="51"/>
        <v/>
      </c>
      <c r="AW190" s="450" t="str">
        <f t="shared" si="52"/>
        <v/>
      </c>
      <c r="AX190" s="450" t="str">
        <f t="shared" si="53"/>
        <v/>
      </c>
      <c r="AY190" s="450" t="str">
        <f t="shared" si="54"/>
        <v/>
      </c>
      <c r="AZ190" s="450" t="str">
        <f t="shared" si="55"/>
        <v/>
      </c>
      <c r="BA190" s="450" t="str">
        <f t="shared" si="56"/>
        <v/>
      </c>
      <c r="BB190" s="450" t="str">
        <f t="shared" si="57"/>
        <v/>
      </c>
      <c r="BC190" s="450" t="str">
        <f t="shared" si="58"/>
        <v/>
      </c>
      <c r="BD190" s="450" t="str">
        <f t="shared" si="59"/>
        <v/>
      </c>
      <c r="BE190" s="450" t="str">
        <f t="shared" si="60"/>
        <v/>
      </c>
      <c r="BF190" s="450" t="str">
        <f t="shared" si="61"/>
        <v/>
      </c>
      <c r="BG190" s="450"/>
      <c r="BH190" s="450" t="str">
        <f t="shared" si="62"/>
        <v/>
      </c>
      <c r="BI190" s="450" t="str">
        <f t="shared" si="63"/>
        <v/>
      </c>
      <c r="BJ190" s="450" t="str">
        <f t="shared" si="64"/>
        <v/>
      </c>
      <c r="BK190" s="450" t="str">
        <f t="shared" si="65"/>
        <v/>
      </c>
      <c r="BL190" s="450" t="str">
        <f t="shared" si="66"/>
        <v/>
      </c>
      <c r="BM190" s="450" t="str">
        <f t="shared" si="67"/>
        <v/>
      </c>
      <c r="BN190" s="32"/>
      <c r="BO190" s="32"/>
    </row>
    <row r="191" spans="1:67" x14ac:dyDescent="0.2">
      <c r="A191" s="8"/>
      <c r="B191" s="8"/>
      <c r="C191" s="8"/>
      <c r="D191" s="8"/>
      <c r="E191" s="8"/>
      <c r="F191" s="8"/>
      <c r="G191" s="8"/>
      <c r="H191" s="8"/>
      <c r="I191" s="8"/>
      <c r="J191" s="8"/>
      <c r="K191" s="8"/>
      <c r="L191" s="528"/>
      <c r="M191" s="528"/>
      <c r="N191" s="448"/>
      <c r="O191" s="448"/>
      <c r="U191" s="501" t="s">
        <v>938</v>
      </c>
      <c r="V191" s="501"/>
      <c r="W191" s="501"/>
      <c r="X191" s="501"/>
      <c r="Y191" s="501"/>
      <c r="Z191" s="501"/>
      <c r="AA191" s="501">
        <v>1</v>
      </c>
      <c r="AB191" s="501">
        <v>1</v>
      </c>
      <c r="AC191" s="501">
        <v>1</v>
      </c>
      <c r="AD191" s="501">
        <v>1</v>
      </c>
      <c r="AE191" s="501">
        <v>1</v>
      </c>
      <c r="AF191" s="501">
        <v>1</v>
      </c>
      <c r="AG191" s="501"/>
      <c r="AH191" s="501"/>
      <c r="AI191" s="501"/>
      <c r="AJ191" s="501"/>
      <c r="AK191" s="501"/>
      <c r="AL191" s="501"/>
      <c r="AM191" s="501"/>
      <c r="AN191" s="501"/>
      <c r="AO191" s="501"/>
      <c r="AP191" s="501"/>
      <c r="AQ191" s="35">
        <f t="shared" si="68"/>
        <v>0</v>
      </c>
      <c r="AR191" s="450" t="str">
        <f t="shared" si="47"/>
        <v/>
      </c>
      <c r="AS191" s="450" t="str">
        <f t="shared" si="48"/>
        <v/>
      </c>
      <c r="AT191" s="450" t="str">
        <f t="shared" si="49"/>
        <v/>
      </c>
      <c r="AU191" s="450" t="str">
        <f t="shared" si="50"/>
        <v/>
      </c>
      <c r="AV191" s="450" t="str">
        <f t="shared" si="51"/>
        <v/>
      </c>
      <c r="AW191" s="450" t="str">
        <f t="shared" si="52"/>
        <v/>
      </c>
      <c r="AX191" s="450" t="str">
        <f t="shared" si="53"/>
        <v/>
      </c>
      <c r="AY191" s="450" t="str">
        <f t="shared" si="54"/>
        <v/>
      </c>
      <c r="AZ191" s="450" t="str">
        <f t="shared" si="55"/>
        <v/>
      </c>
      <c r="BA191" s="450" t="str">
        <f t="shared" si="56"/>
        <v/>
      </c>
      <c r="BB191" s="450" t="str">
        <f t="shared" si="57"/>
        <v/>
      </c>
      <c r="BC191" s="450" t="str">
        <f t="shared" si="58"/>
        <v/>
      </c>
      <c r="BD191" s="450" t="str">
        <f t="shared" si="59"/>
        <v/>
      </c>
      <c r="BE191" s="450" t="str">
        <f t="shared" si="60"/>
        <v/>
      </c>
      <c r="BF191" s="450" t="str">
        <f t="shared" si="61"/>
        <v/>
      </c>
      <c r="BG191" s="450"/>
      <c r="BH191" s="450" t="str">
        <f t="shared" si="62"/>
        <v/>
      </c>
      <c r="BI191" s="450" t="str">
        <f t="shared" si="63"/>
        <v/>
      </c>
      <c r="BJ191" s="450" t="str">
        <f t="shared" si="64"/>
        <v/>
      </c>
      <c r="BK191" s="450" t="str">
        <f t="shared" si="65"/>
        <v/>
      </c>
      <c r="BL191" s="450" t="str">
        <f t="shared" si="66"/>
        <v/>
      </c>
      <c r="BM191" s="450" t="str">
        <f t="shared" si="67"/>
        <v/>
      </c>
      <c r="BN191" s="32"/>
      <c r="BO191" s="32"/>
    </row>
    <row r="192" spans="1:67" x14ac:dyDescent="0.2">
      <c r="A192" s="8"/>
      <c r="B192" s="8"/>
      <c r="C192" s="8"/>
      <c r="D192" s="8"/>
      <c r="E192" s="8"/>
      <c r="F192" s="8"/>
      <c r="G192" s="8"/>
      <c r="H192" s="8"/>
      <c r="I192" s="8"/>
      <c r="J192" s="8"/>
      <c r="K192" s="8"/>
      <c r="L192" s="528"/>
      <c r="M192" s="528"/>
      <c r="N192" s="448"/>
      <c r="O192" s="448"/>
      <c r="U192" s="501" t="s">
        <v>939</v>
      </c>
      <c r="V192" s="501"/>
      <c r="W192" s="501"/>
      <c r="X192" s="501"/>
      <c r="Y192" s="501"/>
      <c r="Z192" s="501"/>
      <c r="AA192" s="501">
        <v>1</v>
      </c>
      <c r="AB192" s="501"/>
      <c r="AC192" s="501">
        <v>1</v>
      </c>
      <c r="AD192" s="501">
        <v>1</v>
      </c>
      <c r="AE192" s="501">
        <v>1</v>
      </c>
      <c r="AF192" s="501">
        <v>1</v>
      </c>
      <c r="AG192" s="501">
        <v>1</v>
      </c>
      <c r="AH192" s="501"/>
      <c r="AI192" s="501"/>
      <c r="AJ192" s="501"/>
      <c r="AK192" s="501"/>
      <c r="AL192" s="501"/>
      <c r="AM192" s="501"/>
      <c r="AN192" s="501"/>
      <c r="AO192" s="501"/>
      <c r="AP192" s="501"/>
      <c r="AQ192" s="35">
        <f t="shared" si="68"/>
        <v>0</v>
      </c>
      <c r="AR192" s="450" t="str">
        <f t="shared" si="47"/>
        <v/>
      </c>
      <c r="AS192" s="450" t="str">
        <f t="shared" si="48"/>
        <v/>
      </c>
      <c r="AT192" s="450" t="str">
        <f t="shared" si="49"/>
        <v/>
      </c>
      <c r="AU192" s="450" t="str">
        <f t="shared" si="50"/>
        <v/>
      </c>
      <c r="AV192" s="450" t="str">
        <f t="shared" si="51"/>
        <v/>
      </c>
      <c r="AW192" s="450" t="str">
        <f t="shared" si="52"/>
        <v/>
      </c>
      <c r="AX192" s="450" t="str">
        <f t="shared" si="53"/>
        <v/>
      </c>
      <c r="AY192" s="450" t="str">
        <f t="shared" si="54"/>
        <v/>
      </c>
      <c r="AZ192" s="450" t="str">
        <f t="shared" si="55"/>
        <v/>
      </c>
      <c r="BA192" s="450" t="str">
        <f t="shared" si="56"/>
        <v/>
      </c>
      <c r="BB192" s="450" t="str">
        <f t="shared" si="57"/>
        <v/>
      </c>
      <c r="BC192" s="450" t="str">
        <f t="shared" si="58"/>
        <v/>
      </c>
      <c r="BD192" s="450" t="str">
        <f t="shared" si="59"/>
        <v/>
      </c>
      <c r="BE192" s="450" t="str">
        <f t="shared" si="60"/>
        <v/>
      </c>
      <c r="BF192" s="450" t="str">
        <f t="shared" si="61"/>
        <v/>
      </c>
      <c r="BG192" s="450"/>
      <c r="BH192" s="450" t="str">
        <f t="shared" si="62"/>
        <v/>
      </c>
      <c r="BI192" s="450" t="str">
        <f t="shared" si="63"/>
        <v/>
      </c>
      <c r="BJ192" s="450" t="str">
        <f t="shared" si="64"/>
        <v/>
      </c>
      <c r="BK192" s="450" t="str">
        <f t="shared" si="65"/>
        <v/>
      </c>
      <c r="BL192" s="450" t="str">
        <f t="shared" si="66"/>
        <v/>
      </c>
      <c r="BM192" s="450" t="str">
        <f t="shared" si="67"/>
        <v/>
      </c>
      <c r="BN192" s="32"/>
      <c r="BO192" s="32"/>
    </row>
    <row r="193" spans="1:67" x14ac:dyDescent="0.2">
      <c r="A193" s="8"/>
      <c r="B193" s="8"/>
      <c r="C193" s="8"/>
      <c r="D193" s="8"/>
      <c r="E193" s="8"/>
      <c r="F193" s="8"/>
      <c r="G193" s="8"/>
      <c r="H193" s="8"/>
      <c r="I193" s="8"/>
      <c r="J193" s="8"/>
      <c r="K193" s="8"/>
      <c r="L193" s="528"/>
      <c r="M193" s="528"/>
      <c r="N193" s="448"/>
      <c r="O193" s="448"/>
      <c r="U193" s="501" t="s">
        <v>940</v>
      </c>
      <c r="V193" s="501"/>
      <c r="W193" s="501"/>
      <c r="X193" s="501"/>
      <c r="Y193" s="501"/>
      <c r="Z193" s="501"/>
      <c r="AA193" s="501">
        <v>1</v>
      </c>
      <c r="AB193" s="501"/>
      <c r="AC193" s="501"/>
      <c r="AD193" s="501">
        <v>1</v>
      </c>
      <c r="AE193" s="501">
        <v>1</v>
      </c>
      <c r="AF193" s="501">
        <v>1</v>
      </c>
      <c r="AG193" s="501">
        <v>1</v>
      </c>
      <c r="AH193" s="501"/>
      <c r="AI193" s="501"/>
      <c r="AJ193" s="501"/>
      <c r="AK193" s="501"/>
      <c r="AL193" s="501"/>
      <c r="AM193" s="501"/>
      <c r="AN193" s="501"/>
      <c r="AO193" s="501"/>
      <c r="AP193" s="501"/>
      <c r="AQ193" s="35">
        <f t="shared" si="68"/>
        <v>0</v>
      </c>
      <c r="AR193" s="450" t="str">
        <f t="shared" si="47"/>
        <v/>
      </c>
      <c r="AS193" s="450" t="str">
        <f t="shared" si="48"/>
        <v/>
      </c>
      <c r="AT193" s="450" t="str">
        <f t="shared" si="49"/>
        <v/>
      </c>
      <c r="AU193" s="450" t="str">
        <f t="shared" si="50"/>
        <v/>
      </c>
      <c r="AV193" s="450" t="str">
        <f t="shared" si="51"/>
        <v/>
      </c>
      <c r="AW193" s="450" t="str">
        <f t="shared" si="52"/>
        <v/>
      </c>
      <c r="AX193" s="450" t="str">
        <f t="shared" si="53"/>
        <v/>
      </c>
      <c r="AY193" s="450" t="str">
        <f t="shared" si="54"/>
        <v/>
      </c>
      <c r="AZ193" s="450" t="str">
        <f t="shared" si="55"/>
        <v/>
      </c>
      <c r="BA193" s="450" t="str">
        <f t="shared" si="56"/>
        <v/>
      </c>
      <c r="BB193" s="450" t="str">
        <f t="shared" si="57"/>
        <v/>
      </c>
      <c r="BC193" s="450" t="str">
        <f t="shared" si="58"/>
        <v/>
      </c>
      <c r="BD193" s="450" t="str">
        <f t="shared" si="59"/>
        <v/>
      </c>
      <c r="BE193" s="450" t="str">
        <f t="shared" si="60"/>
        <v/>
      </c>
      <c r="BF193" s="450" t="str">
        <f t="shared" si="61"/>
        <v/>
      </c>
      <c r="BG193" s="450"/>
      <c r="BH193" s="450" t="str">
        <f t="shared" si="62"/>
        <v/>
      </c>
      <c r="BI193" s="450" t="str">
        <f t="shared" si="63"/>
        <v/>
      </c>
      <c r="BJ193" s="450" t="str">
        <f t="shared" si="64"/>
        <v/>
      </c>
      <c r="BK193" s="450" t="str">
        <f t="shared" si="65"/>
        <v/>
      </c>
      <c r="BL193" s="450" t="str">
        <f t="shared" si="66"/>
        <v/>
      </c>
      <c r="BM193" s="450" t="str">
        <f t="shared" si="67"/>
        <v/>
      </c>
      <c r="BN193" s="32"/>
      <c r="BO193" s="32"/>
    </row>
    <row r="194" spans="1:67" x14ac:dyDescent="0.2">
      <c r="A194" s="8"/>
      <c r="B194" s="8"/>
      <c r="C194" s="8"/>
      <c r="D194" s="8"/>
      <c r="E194" s="8"/>
      <c r="F194" s="8"/>
      <c r="G194" s="8"/>
      <c r="H194" s="8"/>
      <c r="I194" s="8"/>
      <c r="J194" s="8"/>
      <c r="K194" s="8"/>
      <c r="L194" s="528"/>
      <c r="M194" s="528"/>
      <c r="N194" s="448"/>
      <c r="O194" s="448"/>
      <c r="U194" s="501" t="s">
        <v>941</v>
      </c>
      <c r="V194" s="501"/>
      <c r="W194" s="501"/>
      <c r="X194" s="501"/>
      <c r="Y194" s="501"/>
      <c r="Z194" s="501"/>
      <c r="AA194" s="501">
        <v>1</v>
      </c>
      <c r="AB194" s="501"/>
      <c r="AC194" s="501"/>
      <c r="AD194" s="501">
        <v>1</v>
      </c>
      <c r="AE194" s="501">
        <v>1</v>
      </c>
      <c r="AF194" s="501">
        <v>1</v>
      </c>
      <c r="AG194" s="501">
        <v>1</v>
      </c>
      <c r="AH194" s="501">
        <v>1</v>
      </c>
      <c r="AI194" s="501"/>
      <c r="AJ194" s="501"/>
      <c r="AK194" s="501"/>
      <c r="AL194" s="501"/>
      <c r="AM194" s="501"/>
      <c r="AN194" s="501"/>
      <c r="AO194" s="501"/>
      <c r="AP194" s="501"/>
      <c r="AQ194" s="35">
        <f t="shared" si="68"/>
        <v>0</v>
      </c>
      <c r="AR194" s="450" t="str">
        <f t="shared" si="47"/>
        <v/>
      </c>
      <c r="AS194" s="450" t="str">
        <f t="shared" si="48"/>
        <v/>
      </c>
      <c r="AT194" s="450" t="str">
        <f t="shared" si="49"/>
        <v/>
      </c>
      <c r="AU194" s="450" t="str">
        <f t="shared" si="50"/>
        <v/>
      </c>
      <c r="AV194" s="450" t="str">
        <f t="shared" si="51"/>
        <v/>
      </c>
      <c r="AW194" s="450" t="str">
        <f t="shared" si="52"/>
        <v/>
      </c>
      <c r="AX194" s="450" t="str">
        <f t="shared" si="53"/>
        <v/>
      </c>
      <c r="AY194" s="450" t="str">
        <f t="shared" si="54"/>
        <v/>
      </c>
      <c r="AZ194" s="450" t="str">
        <f t="shared" si="55"/>
        <v/>
      </c>
      <c r="BA194" s="450" t="str">
        <f t="shared" si="56"/>
        <v/>
      </c>
      <c r="BB194" s="450" t="str">
        <f t="shared" si="57"/>
        <v/>
      </c>
      <c r="BC194" s="450" t="str">
        <f t="shared" si="58"/>
        <v/>
      </c>
      <c r="BD194" s="450" t="str">
        <f t="shared" si="59"/>
        <v/>
      </c>
      <c r="BE194" s="450" t="str">
        <f t="shared" si="60"/>
        <v/>
      </c>
      <c r="BF194" s="450" t="str">
        <f t="shared" si="61"/>
        <v/>
      </c>
      <c r="BG194" s="450"/>
      <c r="BH194" s="450" t="str">
        <f t="shared" si="62"/>
        <v/>
      </c>
      <c r="BI194" s="450" t="str">
        <f t="shared" si="63"/>
        <v/>
      </c>
      <c r="BJ194" s="450" t="str">
        <f t="shared" si="64"/>
        <v/>
      </c>
      <c r="BK194" s="450" t="str">
        <f t="shared" si="65"/>
        <v/>
      </c>
      <c r="BL194" s="450" t="str">
        <f t="shared" si="66"/>
        <v/>
      </c>
      <c r="BM194" s="450" t="str">
        <f t="shared" si="67"/>
        <v/>
      </c>
      <c r="BN194" s="32"/>
      <c r="BO194" s="32"/>
    </row>
    <row r="195" spans="1:67" x14ac:dyDescent="0.2">
      <c r="A195" s="8"/>
      <c r="B195" s="8"/>
      <c r="C195" s="8"/>
      <c r="D195" s="8"/>
      <c r="E195" s="8"/>
      <c r="F195" s="8"/>
      <c r="G195" s="8"/>
      <c r="H195" s="8"/>
      <c r="I195" s="8"/>
      <c r="J195" s="8"/>
      <c r="K195" s="8"/>
      <c r="L195" s="528"/>
      <c r="M195" s="528"/>
      <c r="N195" s="448"/>
      <c r="O195" s="448"/>
      <c r="U195" s="501" t="s">
        <v>942</v>
      </c>
      <c r="V195" s="501"/>
      <c r="W195" s="501"/>
      <c r="X195" s="501"/>
      <c r="Y195" s="501"/>
      <c r="Z195" s="501"/>
      <c r="AA195" s="501"/>
      <c r="AB195" s="501"/>
      <c r="AC195" s="501"/>
      <c r="AD195" s="501"/>
      <c r="AE195" s="501"/>
      <c r="AF195" s="501">
        <v>1</v>
      </c>
      <c r="AG195" s="501">
        <v>1</v>
      </c>
      <c r="AH195" s="501">
        <v>1</v>
      </c>
      <c r="AI195" s="501">
        <v>1</v>
      </c>
      <c r="AJ195" s="501">
        <v>1</v>
      </c>
      <c r="AK195" s="501"/>
      <c r="AL195" s="501"/>
      <c r="AM195" s="501"/>
      <c r="AN195" s="501"/>
      <c r="AO195" s="501"/>
      <c r="AP195" s="501"/>
      <c r="AQ195" s="35">
        <f t="shared" si="68"/>
        <v>0</v>
      </c>
      <c r="AR195" s="450" t="str">
        <f t="shared" si="47"/>
        <v/>
      </c>
      <c r="AS195" s="450" t="str">
        <f t="shared" si="48"/>
        <v/>
      </c>
      <c r="AT195" s="450" t="str">
        <f t="shared" si="49"/>
        <v/>
      </c>
      <c r="AU195" s="450" t="str">
        <f t="shared" si="50"/>
        <v/>
      </c>
      <c r="AV195" s="450" t="str">
        <f t="shared" si="51"/>
        <v/>
      </c>
      <c r="AW195" s="450" t="str">
        <f t="shared" si="52"/>
        <v/>
      </c>
      <c r="AX195" s="450" t="str">
        <f t="shared" si="53"/>
        <v/>
      </c>
      <c r="AY195" s="450" t="str">
        <f t="shared" si="54"/>
        <v/>
      </c>
      <c r="AZ195" s="450" t="str">
        <f t="shared" si="55"/>
        <v/>
      </c>
      <c r="BA195" s="450" t="str">
        <f t="shared" si="56"/>
        <v/>
      </c>
      <c r="BB195" s="450" t="str">
        <f t="shared" si="57"/>
        <v/>
      </c>
      <c r="BC195" s="450" t="str">
        <f t="shared" si="58"/>
        <v/>
      </c>
      <c r="BD195" s="450" t="str">
        <f t="shared" si="59"/>
        <v/>
      </c>
      <c r="BE195" s="450" t="str">
        <f t="shared" si="60"/>
        <v/>
      </c>
      <c r="BF195" s="450" t="str">
        <f t="shared" si="61"/>
        <v/>
      </c>
      <c r="BG195" s="450"/>
      <c r="BH195" s="450" t="str">
        <f t="shared" si="62"/>
        <v/>
      </c>
      <c r="BI195" s="450" t="str">
        <f t="shared" si="63"/>
        <v/>
      </c>
      <c r="BJ195" s="450" t="str">
        <f t="shared" si="64"/>
        <v/>
      </c>
      <c r="BK195" s="450" t="str">
        <f t="shared" si="65"/>
        <v/>
      </c>
      <c r="BL195" s="450" t="str">
        <f t="shared" si="66"/>
        <v/>
      </c>
      <c r="BM195" s="450" t="str">
        <f t="shared" si="67"/>
        <v/>
      </c>
      <c r="BN195" s="32"/>
      <c r="BO195" s="32"/>
    </row>
    <row r="196" spans="1:67" x14ac:dyDescent="0.2">
      <c r="A196" s="8"/>
      <c r="B196" s="8"/>
      <c r="C196" s="8"/>
      <c r="D196" s="8"/>
      <c r="E196" s="8"/>
      <c r="F196" s="8"/>
      <c r="G196" s="8"/>
      <c r="H196" s="8"/>
      <c r="I196" s="8"/>
      <c r="J196" s="8"/>
      <c r="K196" s="8"/>
      <c r="L196" s="528"/>
      <c r="M196" s="528"/>
      <c r="N196" s="448"/>
      <c r="O196" s="448"/>
      <c r="U196" s="501" t="s">
        <v>2072</v>
      </c>
      <c r="V196" s="501"/>
      <c r="W196" s="501"/>
      <c r="X196" s="501"/>
      <c r="Y196" s="501"/>
      <c r="Z196" s="501"/>
      <c r="AA196" s="501"/>
      <c r="AB196" s="501"/>
      <c r="AC196" s="501"/>
      <c r="AD196" s="501"/>
      <c r="AE196" s="501"/>
      <c r="AF196" s="501"/>
      <c r="AG196" s="501">
        <v>1</v>
      </c>
      <c r="AH196" s="501">
        <v>1</v>
      </c>
      <c r="AI196" s="501">
        <v>1</v>
      </c>
      <c r="AJ196" s="501">
        <v>1</v>
      </c>
      <c r="AK196" s="501"/>
      <c r="AL196" s="501"/>
      <c r="AM196" s="501"/>
      <c r="AN196" s="501"/>
      <c r="AO196" s="501"/>
      <c r="AP196" s="501"/>
      <c r="AQ196" s="35">
        <f>IF(U196=$V$183,1,0)</f>
        <v>0</v>
      </c>
      <c r="AR196" s="450" t="str">
        <f t="shared" ref="AR196:BF196" si="69">IF($AQ196=0,"",IF(AND(AR$188=1,V196&gt;0),V196,""))</f>
        <v/>
      </c>
      <c r="AS196" s="450" t="str">
        <f t="shared" si="69"/>
        <v/>
      </c>
      <c r="AT196" s="450" t="str">
        <f t="shared" si="69"/>
        <v/>
      </c>
      <c r="AU196" s="450" t="str">
        <f t="shared" si="69"/>
        <v/>
      </c>
      <c r="AV196" s="450" t="str">
        <f t="shared" si="69"/>
        <v/>
      </c>
      <c r="AW196" s="450" t="str">
        <f t="shared" si="69"/>
        <v/>
      </c>
      <c r="AX196" s="450" t="str">
        <f t="shared" si="69"/>
        <v/>
      </c>
      <c r="AY196" s="450" t="str">
        <f t="shared" si="69"/>
        <v/>
      </c>
      <c r="AZ196" s="450" t="str">
        <f t="shared" si="69"/>
        <v/>
      </c>
      <c r="BA196" s="450" t="str">
        <f t="shared" si="69"/>
        <v/>
      </c>
      <c r="BB196" s="450" t="str">
        <f t="shared" si="69"/>
        <v/>
      </c>
      <c r="BC196" s="450" t="str">
        <f>IF($AQ196=0,"",IF(AND(BC$188=1,AG196&gt;0),AG196,""))</f>
        <v/>
      </c>
      <c r="BD196" s="450" t="str">
        <f t="shared" si="69"/>
        <v/>
      </c>
      <c r="BE196" s="450" t="str">
        <f t="shared" si="69"/>
        <v/>
      </c>
      <c r="BF196" s="450" t="str">
        <f t="shared" si="69"/>
        <v/>
      </c>
      <c r="BG196" s="450"/>
      <c r="BH196" s="450" t="str">
        <f t="shared" ref="BH196:BM196" si="70">IF($AQ196=0,"",IF(AND(BH$188=1,AK196&gt;0),AK196,""))</f>
        <v/>
      </c>
      <c r="BI196" s="450" t="str">
        <f t="shared" si="70"/>
        <v/>
      </c>
      <c r="BJ196" s="450" t="str">
        <f t="shared" si="70"/>
        <v/>
      </c>
      <c r="BK196" s="450" t="str">
        <f t="shared" si="70"/>
        <v/>
      </c>
      <c r="BL196" s="450" t="str">
        <f t="shared" si="70"/>
        <v/>
      </c>
      <c r="BM196" s="450" t="str">
        <f t="shared" si="70"/>
        <v/>
      </c>
      <c r="BN196" s="32"/>
      <c r="BO196" s="32"/>
    </row>
    <row r="197" spans="1:67" x14ac:dyDescent="0.2">
      <c r="A197" s="8"/>
      <c r="B197" s="8"/>
      <c r="C197" s="8"/>
      <c r="D197" s="8"/>
      <c r="E197" s="8"/>
      <c r="F197" s="8"/>
      <c r="G197" s="8"/>
      <c r="H197" s="8"/>
      <c r="I197" s="8"/>
      <c r="J197" s="8"/>
      <c r="K197" s="8"/>
      <c r="L197" s="528"/>
      <c r="M197" s="528"/>
      <c r="N197" s="448"/>
      <c r="O197" s="448"/>
      <c r="U197" s="501" t="s">
        <v>943</v>
      </c>
      <c r="V197" s="501"/>
      <c r="W197" s="501"/>
      <c r="X197" s="501"/>
      <c r="Y197" s="501"/>
      <c r="Z197" s="501"/>
      <c r="AA197" s="501"/>
      <c r="AB197" s="501"/>
      <c r="AC197" s="501"/>
      <c r="AD197" s="501"/>
      <c r="AE197" s="501"/>
      <c r="AF197" s="515"/>
      <c r="AG197" s="515"/>
      <c r="AH197" s="515"/>
      <c r="AI197" s="515"/>
      <c r="AJ197" s="515"/>
      <c r="AK197" s="501">
        <v>1</v>
      </c>
      <c r="AL197" s="501">
        <v>1</v>
      </c>
      <c r="AM197" s="501">
        <v>1</v>
      </c>
      <c r="AN197" s="501"/>
      <c r="AO197" s="501"/>
      <c r="AP197" s="501"/>
      <c r="AQ197" s="35">
        <f t="shared" si="68"/>
        <v>0</v>
      </c>
      <c r="AR197" s="450" t="str">
        <f t="shared" si="47"/>
        <v/>
      </c>
      <c r="AS197" s="450" t="str">
        <f t="shared" si="48"/>
        <v/>
      </c>
      <c r="AT197" s="450" t="str">
        <f t="shared" si="49"/>
        <v/>
      </c>
      <c r="AU197" s="450" t="str">
        <f t="shared" si="50"/>
        <v/>
      </c>
      <c r="AV197" s="450" t="str">
        <f t="shared" si="51"/>
        <v/>
      </c>
      <c r="AW197" s="450" t="str">
        <f t="shared" si="52"/>
        <v/>
      </c>
      <c r="AX197" s="450" t="str">
        <f t="shared" si="53"/>
        <v/>
      </c>
      <c r="AY197" s="450" t="str">
        <f t="shared" si="54"/>
        <v/>
      </c>
      <c r="AZ197" s="450" t="str">
        <f t="shared" si="55"/>
        <v/>
      </c>
      <c r="BA197" s="450" t="str">
        <f t="shared" si="56"/>
        <v/>
      </c>
      <c r="BB197" s="450" t="str">
        <f t="shared" si="57"/>
        <v/>
      </c>
      <c r="BC197" s="450" t="str">
        <f t="shared" si="58"/>
        <v/>
      </c>
      <c r="BD197" s="450" t="str">
        <f t="shared" si="59"/>
        <v/>
      </c>
      <c r="BE197" s="450" t="str">
        <f t="shared" si="60"/>
        <v/>
      </c>
      <c r="BF197" s="450" t="str">
        <f t="shared" si="61"/>
        <v/>
      </c>
      <c r="BG197" s="450"/>
      <c r="BH197" s="450" t="str">
        <f t="shared" si="62"/>
        <v/>
      </c>
      <c r="BI197" s="450" t="str">
        <f t="shared" si="63"/>
        <v/>
      </c>
      <c r="BJ197" s="450" t="str">
        <f t="shared" si="64"/>
        <v/>
      </c>
      <c r="BK197" s="450" t="str">
        <f t="shared" si="65"/>
        <v/>
      </c>
      <c r="BL197" s="450" t="str">
        <f t="shared" si="66"/>
        <v/>
      </c>
      <c r="BM197" s="450" t="str">
        <f t="shared" si="67"/>
        <v/>
      </c>
      <c r="BN197" s="32"/>
      <c r="BO197" s="32"/>
    </row>
    <row r="198" spans="1:67" x14ac:dyDescent="0.2">
      <c r="A198" s="8"/>
      <c r="B198" s="8"/>
      <c r="C198" s="8"/>
      <c r="D198" s="8"/>
      <c r="E198" s="8"/>
      <c r="F198" s="8"/>
      <c r="G198" s="8"/>
      <c r="H198" s="8"/>
      <c r="I198" s="8"/>
      <c r="J198" s="8"/>
      <c r="K198" s="8"/>
      <c r="L198" s="528"/>
      <c r="M198" s="528"/>
      <c r="N198" s="448"/>
      <c r="O198" s="448"/>
      <c r="U198" s="501" t="s">
        <v>944</v>
      </c>
      <c r="V198" s="501"/>
      <c r="W198" s="501"/>
      <c r="X198" s="501"/>
      <c r="Y198" s="501"/>
      <c r="Z198" s="501"/>
      <c r="AA198" s="501"/>
      <c r="AB198" s="501"/>
      <c r="AC198" s="501"/>
      <c r="AD198" s="501"/>
      <c r="AE198" s="501"/>
      <c r="AF198" s="501"/>
      <c r="AG198" s="501"/>
      <c r="AH198" s="515"/>
      <c r="AI198" s="515"/>
      <c r="AJ198" s="515"/>
      <c r="AK198" s="501">
        <v>1</v>
      </c>
      <c r="AL198" s="515"/>
      <c r="AM198" s="501">
        <v>1</v>
      </c>
      <c r="AN198" s="501">
        <v>1</v>
      </c>
      <c r="AO198" s="501"/>
      <c r="AP198" s="501"/>
      <c r="AQ198" s="35">
        <f t="shared" si="68"/>
        <v>0</v>
      </c>
      <c r="AR198" s="450" t="str">
        <f t="shared" si="47"/>
        <v/>
      </c>
      <c r="AS198" s="450" t="str">
        <f t="shared" si="48"/>
        <v/>
      </c>
      <c r="AT198" s="450" t="str">
        <f t="shared" si="49"/>
        <v/>
      </c>
      <c r="AU198" s="450" t="str">
        <f t="shared" si="50"/>
        <v/>
      </c>
      <c r="AV198" s="450" t="str">
        <f t="shared" si="51"/>
        <v/>
      </c>
      <c r="AW198" s="450" t="str">
        <f t="shared" si="52"/>
        <v/>
      </c>
      <c r="AX198" s="450" t="str">
        <f t="shared" si="53"/>
        <v/>
      </c>
      <c r="AY198" s="450" t="str">
        <f t="shared" si="54"/>
        <v/>
      </c>
      <c r="AZ198" s="450" t="str">
        <f t="shared" si="55"/>
        <v/>
      </c>
      <c r="BA198" s="450" t="str">
        <f t="shared" si="56"/>
        <v/>
      </c>
      <c r="BB198" s="450" t="str">
        <f t="shared" si="57"/>
        <v/>
      </c>
      <c r="BC198" s="450" t="str">
        <f t="shared" si="58"/>
        <v/>
      </c>
      <c r="BD198" s="450" t="str">
        <f t="shared" si="59"/>
        <v/>
      </c>
      <c r="BE198" s="450" t="str">
        <f t="shared" si="60"/>
        <v/>
      </c>
      <c r="BF198" s="450" t="str">
        <f t="shared" si="61"/>
        <v/>
      </c>
      <c r="BG198" s="450"/>
      <c r="BH198" s="450" t="str">
        <f t="shared" si="62"/>
        <v/>
      </c>
      <c r="BI198" s="450" t="str">
        <f t="shared" si="63"/>
        <v/>
      </c>
      <c r="BJ198" s="450" t="str">
        <f t="shared" si="64"/>
        <v/>
      </c>
      <c r="BK198" s="450" t="str">
        <f t="shared" si="65"/>
        <v/>
      </c>
      <c r="BL198" s="450" t="str">
        <f t="shared" si="66"/>
        <v/>
      </c>
      <c r="BM198" s="450" t="str">
        <f t="shared" si="67"/>
        <v/>
      </c>
      <c r="BN198" s="32"/>
      <c r="BO198" s="32"/>
    </row>
    <row r="199" spans="1:67" x14ac:dyDescent="0.2">
      <c r="A199" s="8"/>
      <c r="B199" s="8"/>
      <c r="C199" s="8"/>
      <c r="D199" s="8"/>
      <c r="E199" s="8"/>
      <c r="F199" s="8"/>
      <c r="G199" s="8"/>
      <c r="H199" s="8"/>
      <c r="I199" s="8"/>
      <c r="J199" s="8"/>
      <c r="K199" s="8"/>
      <c r="L199" s="528"/>
      <c r="M199" s="528"/>
      <c r="N199" s="448"/>
      <c r="O199" s="448"/>
      <c r="U199" s="501" t="s">
        <v>945</v>
      </c>
      <c r="V199" s="501"/>
      <c r="W199" s="501"/>
      <c r="X199" s="501"/>
      <c r="Y199" s="501"/>
      <c r="Z199" s="501"/>
      <c r="AA199" s="501"/>
      <c r="AB199" s="501"/>
      <c r="AC199" s="501"/>
      <c r="AD199" s="501"/>
      <c r="AE199" s="501"/>
      <c r="AF199" s="501"/>
      <c r="AG199" s="501"/>
      <c r="AH199" s="501"/>
      <c r="AI199" s="501"/>
      <c r="AJ199" s="501"/>
      <c r="AK199" s="501">
        <v>1</v>
      </c>
      <c r="AL199" s="515"/>
      <c r="AM199" s="515"/>
      <c r="AN199" s="501">
        <v>1</v>
      </c>
      <c r="AO199" s="501">
        <v>1</v>
      </c>
      <c r="AP199" s="501">
        <v>1</v>
      </c>
      <c r="AQ199" s="35">
        <f t="shared" si="68"/>
        <v>0</v>
      </c>
      <c r="AR199" s="450" t="str">
        <f t="shared" si="47"/>
        <v/>
      </c>
      <c r="AS199" s="450" t="str">
        <f t="shared" si="48"/>
        <v/>
      </c>
      <c r="AT199" s="450" t="str">
        <f t="shared" si="49"/>
        <v/>
      </c>
      <c r="AU199" s="450" t="str">
        <f t="shared" si="50"/>
        <v/>
      </c>
      <c r="AV199" s="450" t="str">
        <f t="shared" si="51"/>
        <v/>
      </c>
      <c r="AW199" s="450" t="str">
        <f t="shared" si="52"/>
        <v/>
      </c>
      <c r="AX199" s="450" t="str">
        <f t="shared" si="53"/>
        <v/>
      </c>
      <c r="AY199" s="450" t="str">
        <f t="shared" si="54"/>
        <v/>
      </c>
      <c r="AZ199" s="450" t="str">
        <f t="shared" si="55"/>
        <v/>
      </c>
      <c r="BA199" s="450" t="str">
        <f t="shared" si="56"/>
        <v/>
      </c>
      <c r="BB199" s="450" t="str">
        <f t="shared" si="57"/>
        <v/>
      </c>
      <c r="BC199" s="450" t="str">
        <f t="shared" si="58"/>
        <v/>
      </c>
      <c r="BD199" s="450" t="str">
        <f t="shared" si="59"/>
        <v/>
      </c>
      <c r="BE199" s="450" t="str">
        <f t="shared" si="60"/>
        <v/>
      </c>
      <c r="BF199" s="450" t="str">
        <f t="shared" si="61"/>
        <v/>
      </c>
      <c r="BG199" s="450"/>
      <c r="BH199" s="450" t="str">
        <f t="shared" si="62"/>
        <v/>
      </c>
      <c r="BI199" s="450" t="str">
        <f t="shared" si="63"/>
        <v/>
      </c>
      <c r="BJ199" s="450" t="str">
        <f t="shared" si="64"/>
        <v/>
      </c>
      <c r="BK199" s="450" t="str">
        <f t="shared" si="65"/>
        <v/>
      </c>
      <c r="BL199" s="450" t="str">
        <f t="shared" si="66"/>
        <v/>
      </c>
      <c r="BM199" s="450" t="str">
        <f t="shared" si="67"/>
        <v/>
      </c>
      <c r="BN199" s="32"/>
      <c r="BO199" s="32"/>
    </row>
    <row r="200" spans="1:67" x14ac:dyDescent="0.2">
      <c r="A200" s="8"/>
      <c r="B200" s="8"/>
      <c r="C200" s="8"/>
      <c r="D200" s="8"/>
      <c r="E200" s="8"/>
      <c r="F200" s="8"/>
      <c r="G200" s="8"/>
      <c r="H200" s="8"/>
      <c r="I200" s="8"/>
      <c r="J200" s="8"/>
      <c r="K200" s="8"/>
      <c r="L200" s="528"/>
      <c r="M200" s="528"/>
      <c r="N200" s="448"/>
      <c r="O200" s="448"/>
      <c r="U200" s="501" t="s">
        <v>946</v>
      </c>
      <c r="V200" s="501"/>
      <c r="W200" s="501"/>
      <c r="X200" s="501"/>
      <c r="Y200" s="501"/>
      <c r="Z200" s="501"/>
      <c r="AA200" s="501"/>
      <c r="AB200" s="501"/>
      <c r="AC200" s="501"/>
      <c r="AD200" s="501"/>
      <c r="AE200" s="501"/>
      <c r="AF200" s="501"/>
      <c r="AG200" s="501"/>
      <c r="AH200" s="501"/>
      <c r="AI200" s="501"/>
      <c r="AJ200" s="501"/>
      <c r="AK200" s="501">
        <v>2</v>
      </c>
      <c r="AL200" s="515"/>
      <c r="AM200" s="501">
        <v>2</v>
      </c>
      <c r="AN200" s="501">
        <v>2</v>
      </c>
      <c r="AO200" s="501">
        <v>2</v>
      </c>
      <c r="AP200" s="501"/>
      <c r="AQ200" s="35">
        <f t="shared" si="68"/>
        <v>0</v>
      </c>
      <c r="AR200" s="450" t="str">
        <f t="shared" si="47"/>
        <v/>
      </c>
      <c r="AS200" s="450" t="str">
        <f t="shared" si="48"/>
        <v/>
      </c>
      <c r="AT200" s="450" t="str">
        <f t="shared" si="49"/>
        <v/>
      </c>
      <c r="AU200" s="450" t="str">
        <f t="shared" si="50"/>
        <v/>
      </c>
      <c r="AV200" s="450" t="str">
        <f t="shared" si="51"/>
        <v/>
      </c>
      <c r="AW200" s="450" t="str">
        <f t="shared" si="52"/>
        <v/>
      </c>
      <c r="AX200" s="450" t="str">
        <f t="shared" si="53"/>
        <v/>
      </c>
      <c r="AY200" s="450" t="str">
        <f t="shared" si="54"/>
        <v/>
      </c>
      <c r="AZ200" s="450" t="str">
        <f t="shared" si="55"/>
        <v/>
      </c>
      <c r="BA200" s="450" t="str">
        <f t="shared" si="56"/>
        <v/>
      </c>
      <c r="BB200" s="450" t="str">
        <f t="shared" si="57"/>
        <v/>
      </c>
      <c r="BC200" s="450" t="str">
        <f t="shared" si="58"/>
        <v/>
      </c>
      <c r="BD200" s="450" t="str">
        <f t="shared" si="59"/>
        <v/>
      </c>
      <c r="BE200" s="450" t="str">
        <f t="shared" si="60"/>
        <v/>
      </c>
      <c r="BF200" s="450" t="str">
        <f t="shared" si="61"/>
        <v/>
      </c>
      <c r="BG200" s="450"/>
      <c r="BH200" s="450" t="str">
        <f t="shared" si="62"/>
        <v/>
      </c>
      <c r="BI200" s="450" t="str">
        <f t="shared" si="63"/>
        <v/>
      </c>
      <c r="BJ200" s="450" t="str">
        <f t="shared" si="64"/>
        <v/>
      </c>
      <c r="BK200" s="450" t="str">
        <f t="shared" si="65"/>
        <v/>
      </c>
      <c r="BL200" s="450" t="str">
        <f t="shared" si="66"/>
        <v/>
      </c>
      <c r="BM200" s="450" t="str">
        <f t="shared" si="67"/>
        <v/>
      </c>
      <c r="BN200" s="32"/>
      <c r="BO200" s="32"/>
    </row>
    <row r="201" spans="1:67" x14ac:dyDescent="0.2">
      <c r="A201" s="8"/>
      <c r="B201" s="8"/>
      <c r="C201" s="8"/>
      <c r="D201" s="8"/>
      <c r="E201" s="8"/>
      <c r="F201" s="8"/>
      <c r="G201" s="8"/>
      <c r="H201" s="8"/>
      <c r="I201" s="8"/>
      <c r="J201" s="8"/>
      <c r="K201" s="8"/>
      <c r="L201" s="528"/>
      <c r="M201" s="528"/>
      <c r="N201" s="448"/>
      <c r="O201" s="448"/>
      <c r="U201" s="501" t="s">
        <v>947</v>
      </c>
      <c r="V201" s="501"/>
      <c r="W201" s="501"/>
      <c r="X201" s="501"/>
      <c r="Y201" s="501"/>
      <c r="Z201" s="501"/>
      <c r="AA201" s="501"/>
      <c r="AB201" s="501"/>
      <c r="AC201" s="501"/>
      <c r="AD201" s="501"/>
      <c r="AE201" s="501"/>
      <c r="AF201" s="501"/>
      <c r="AG201" s="501"/>
      <c r="AH201" s="501"/>
      <c r="AI201" s="501"/>
      <c r="AJ201" s="501"/>
      <c r="AK201" s="501">
        <v>2</v>
      </c>
      <c r="AL201" s="515"/>
      <c r="AM201" s="515"/>
      <c r="AN201" s="501">
        <v>2</v>
      </c>
      <c r="AO201" s="501">
        <v>2</v>
      </c>
      <c r="AP201" s="501">
        <v>2</v>
      </c>
      <c r="AQ201" s="35">
        <f t="shared" si="68"/>
        <v>0</v>
      </c>
      <c r="AR201" s="450" t="str">
        <f t="shared" si="47"/>
        <v/>
      </c>
      <c r="AS201" s="450" t="str">
        <f t="shared" si="48"/>
        <v/>
      </c>
      <c r="AT201" s="450" t="str">
        <f t="shared" si="49"/>
        <v/>
      </c>
      <c r="AU201" s="450" t="str">
        <f t="shared" si="50"/>
        <v/>
      </c>
      <c r="AV201" s="450" t="str">
        <f t="shared" si="51"/>
        <v/>
      </c>
      <c r="AW201" s="450" t="str">
        <f t="shared" si="52"/>
        <v/>
      </c>
      <c r="AX201" s="450" t="str">
        <f t="shared" si="53"/>
        <v/>
      </c>
      <c r="AY201" s="450" t="str">
        <f t="shared" si="54"/>
        <v/>
      </c>
      <c r="AZ201" s="450" t="str">
        <f t="shared" si="55"/>
        <v/>
      </c>
      <c r="BA201" s="450" t="str">
        <f t="shared" si="56"/>
        <v/>
      </c>
      <c r="BB201" s="450" t="str">
        <f t="shared" si="57"/>
        <v/>
      </c>
      <c r="BC201" s="450" t="str">
        <f t="shared" si="58"/>
        <v/>
      </c>
      <c r="BD201" s="450" t="str">
        <f t="shared" si="59"/>
        <v/>
      </c>
      <c r="BE201" s="450" t="str">
        <f t="shared" si="60"/>
        <v/>
      </c>
      <c r="BF201" s="450" t="str">
        <f t="shared" si="61"/>
        <v/>
      </c>
      <c r="BG201" s="450"/>
      <c r="BH201" s="450" t="str">
        <f t="shared" si="62"/>
        <v/>
      </c>
      <c r="BI201" s="450" t="str">
        <f t="shared" si="63"/>
        <v/>
      </c>
      <c r="BJ201" s="450" t="str">
        <f t="shared" si="64"/>
        <v/>
      </c>
      <c r="BK201" s="450" t="str">
        <f t="shared" si="65"/>
        <v/>
      </c>
      <c r="BL201" s="450" t="str">
        <f t="shared" si="66"/>
        <v/>
      </c>
      <c r="BM201" s="450" t="str">
        <f t="shared" si="67"/>
        <v/>
      </c>
      <c r="BN201" s="32"/>
      <c r="BO201" s="32"/>
    </row>
    <row r="202" spans="1:67" x14ac:dyDescent="0.2">
      <c r="A202" s="8"/>
      <c r="B202" s="8"/>
      <c r="C202" s="8"/>
      <c r="D202" s="8"/>
      <c r="E202" s="8"/>
      <c r="F202" s="8"/>
      <c r="G202" s="8"/>
      <c r="H202" s="8"/>
      <c r="I202" s="8"/>
      <c r="J202" s="8"/>
      <c r="K202" s="8"/>
      <c r="L202" s="528"/>
      <c r="M202" s="528"/>
      <c r="N202" s="448"/>
      <c r="O202" s="448"/>
      <c r="U202" s="501" t="s">
        <v>948</v>
      </c>
      <c r="V202" s="501"/>
      <c r="W202" s="501"/>
      <c r="X202" s="501"/>
      <c r="Y202" s="501"/>
      <c r="Z202" s="501"/>
      <c r="AA202" s="501"/>
      <c r="AB202" s="501"/>
      <c r="AC202" s="501"/>
      <c r="AD202" s="501"/>
      <c r="AE202" s="501"/>
      <c r="AF202" s="501"/>
      <c r="AG202" s="501"/>
      <c r="AH202" s="501"/>
      <c r="AI202" s="501"/>
      <c r="AJ202" s="501"/>
      <c r="AK202" s="501">
        <v>4</v>
      </c>
      <c r="AL202" s="501"/>
      <c r="AM202" s="515"/>
      <c r="AN202" s="501">
        <v>4</v>
      </c>
      <c r="AO202" s="501">
        <v>4</v>
      </c>
      <c r="AP202" s="501">
        <v>4</v>
      </c>
      <c r="AQ202" s="35">
        <f t="shared" si="68"/>
        <v>0</v>
      </c>
      <c r="AR202" s="450" t="str">
        <f t="shared" si="47"/>
        <v/>
      </c>
      <c r="AS202" s="450" t="str">
        <f t="shared" si="48"/>
        <v/>
      </c>
      <c r="AT202" s="450" t="str">
        <f t="shared" si="49"/>
        <v/>
      </c>
      <c r="AU202" s="450" t="str">
        <f t="shared" si="50"/>
        <v/>
      </c>
      <c r="AV202" s="450" t="str">
        <f t="shared" si="51"/>
        <v/>
      </c>
      <c r="AW202" s="450" t="str">
        <f t="shared" si="52"/>
        <v/>
      </c>
      <c r="AX202" s="450" t="str">
        <f t="shared" si="53"/>
        <v/>
      </c>
      <c r="AY202" s="450" t="str">
        <f t="shared" si="54"/>
        <v/>
      </c>
      <c r="AZ202" s="450" t="str">
        <f t="shared" si="55"/>
        <v/>
      </c>
      <c r="BA202" s="450" t="str">
        <f t="shared" si="56"/>
        <v/>
      </c>
      <c r="BB202" s="450" t="str">
        <f t="shared" si="57"/>
        <v/>
      </c>
      <c r="BC202" s="450" t="str">
        <f t="shared" si="58"/>
        <v/>
      </c>
      <c r="BD202" s="450" t="str">
        <f t="shared" si="59"/>
        <v/>
      </c>
      <c r="BE202" s="450" t="str">
        <f t="shared" si="60"/>
        <v/>
      </c>
      <c r="BF202" s="450" t="str">
        <f t="shared" si="61"/>
        <v/>
      </c>
      <c r="BG202" s="450"/>
      <c r="BH202" s="450" t="str">
        <f t="shared" si="62"/>
        <v/>
      </c>
      <c r="BI202" s="450" t="str">
        <f t="shared" si="63"/>
        <v/>
      </c>
      <c r="BJ202" s="450" t="str">
        <f t="shared" si="64"/>
        <v/>
      </c>
      <c r="BK202" s="450" t="str">
        <f t="shared" si="65"/>
        <v/>
      </c>
      <c r="BL202" s="450" t="str">
        <f t="shared" si="66"/>
        <v/>
      </c>
      <c r="BM202" s="450" t="str">
        <f t="shared" si="67"/>
        <v/>
      </c>
      <c r="BN202" s="32"/>
      <c r="BO202" s="32"/>
    </row>
    <row r="203" spans="1:67" x14ac:dyDescent="0.2">
      <c r="A203" s="8"/>
      <c r="B203" s="8"/>
      <c r="C203" s="8"/>
      <c r="D203" s="8"/>
      <c r="E203" s="8"/>
      <c r="F203" s="8"/>
      <c r="G203" s="8"/>
      <c r="H203" s="8"/>
      <c r="I203" s="8"/>
      <c r="J203" s="8"/>
      <c r="K203" s="8"/>
      <c r="L203" s="528"/>
      <c r="M203" s="528"/>
      <c r="N203" s="448"/>
      <c r="O203" s="448"/>
      <c r="U203" s="501" t="s">
        <v>950</v>
      </c>
      <c r="V203" s="501"/>
      <c r="W203" s="501"/>
      <c r="X203" s="501"/>
      <c r="Y203" s="501"/>
      <c r="Z203" s="501"/>
      <c r="AA203" s="501">
        <v>1</v>
      </c>
      <c r="AB203" s="501">
        <v>1</v>
      </c>
      <c r="AC203" s="501">
        <v>1</v>
      </c>
      <c r="AD203" s="501">
        <v>1</v>
      </c>
      <c r="AE203" s="501"/>
      <c r="AF203" s="501"/>
      <c r="AG203" s="501"/>
      <c r="AH203" s="501"/>
      <c r="AI203" s="501"/>
      <c r="AJ203" s="501"/>
      <c r="AK203" s="501"/>
      <c r="AL203" s="501"/>
      <c r="AM203" s="501"/>
      <c r="AN203" s="501"/>
      <c r="AO203" s="501"/>
      <c r="AP203" s="501"/>
      <c r="AQ203" s="35">
        <f t="shared" si="68"/>
        <v>0</v>
      </c>
      <c r="AR203" s="450" t="str">
        <f t="shared" si="47"/>
        <v/>
      </c>
      <c r="AS203" s="450" t="str">
        <f t="shared" si="48"/>
        <v/>
      </c>
      <c r="AT203" s="450" t="str">
        <f t="shared" si="49"/>
        <v/>
      </c>
      <c r="AU203" s="450" t="str">
        <f t="shared" si="50"/>
        <v/>
      </c>
      <c r="AV203" s="450" t="str">
        <f t="shared" si="51"/>
        <v/>
      </c>
      <c r="AW203" s="450" t="str">
        <f t="shared" si="52"/>
        <v/>
      </c>
      <c r="AX203" s="450" t="str">
        <f t="shared" si="53"/>
        <v/>
      </c>
      <c r="AY203" s="450" t="str">
        <f t="shared" si="54"/>
        <v/>
      </c>
      <c r="AZ203" s="450" t="str">
        <f t="shared" si="55"/>
        <v/>
      </c>
      <c r="BA203" s="450" t="str">
        <f t="shared" si="56"/>
        <v/>
      </c>
      <c r="BB203" s="450" t="str">
        <f t="shared" si="57"/>
        <v/>
      </c>
      <c r="BC203" s="450" t="str">
        <f t="shared" si="58"/>
        <v/>
      </c>
      <c r="BD203" s="450" t="str">
        <f t="shared" si="59"/>
        <v/>
      </c>
      <c r="BE203" s="450" t="str">
        <f t="shared" si="60"/>
        <v/>
      </c>
      <c r="BF203" s="450" t="str">
        <f t="shared" si="61"/>
        <v/>
      </c>
      <c r="BG203" s="450"/>
      <c r="BH203" s="450" t="str">
        <f t="shared" si="62"/>
        <v/>
      </c>
      <c r="BI203" s="450" t="str">
        <f t="shared" si="63"/>
        <v/>
      </c>
      <c r="BJ203" s="450" t="str">
        <f t="shared" si="64"/>
        <v/>
      </c>
      <c r="BK203" s="450" t="str">
        <f t="shared" si="65"/>
        <v/>
      </c>
      <c r="BL203" s="450" t="str">
        <f t="shared" si="66"/>
        <v/>
      </c>
      <c r="BM203" s="450" t="str">
        <f t="shared" si="67"/>
        <v/>
      </c>
      <c r="BN203" s="32"/>
      <c r="BO203" s="32"/>
    </row>
    <row r="204" spans="1:67" x14ac:dyDescent="0.2">
      <c r="A204" s="8"/>
      <c r="B204" s="8"/>
      <c r="C204" s="8"/>
      <c r="D204" s="8"/>
      <c r="E204" s="8"/>
      <c r="F204" s="8"/>
      <c r="G204" s="8"/>
      <c r="H204" s="8"/>
      <c r="I204" s="8"/>
      <c r="J204" s="8"/>
      <c r="K204" s="8"/>
      <c r="L204" s="528"/>
      <c r="M204" s="528"/>
      <c r="N204" s="448"/>
      <c r="O204" s="448"/>
      <c r="U204" s="501" t="s">
        <v>951</v>
      </c>
      <c r="V204" s="501"/>
      <c r="W204" s="501"/>
      <c r="X204" s="501"/>
      <c r="Y204" s="501"/>
      <c r="Z204" s="501"/>
      <c r="AA204" s="501">
        <v>1</v>
      </c>
      <c r="AB204" s="501">
        <v>1</v>
      </c>
      <c r="AC204" s="501">
        <v>1</v>
      </c>
      <c r="AD204" s="501">
        <v>1</v>
      </c>
      <c r="AE204" s="501">
        <v>1</v>
      </c>
      <c r="AF204" s="501">
        <v>1</v>
      </c>
      <c r="AG204" s="501"/>
      <c r="AH204" s="501"/>
      <c r="AI204" s="501"/>
      <c r="AJ204" s="501"/>
      <c r="AK204" s="501"/>
      <c r="AL204" s="501"/>
      <c r="AM204" s="501"/>
      <c r="AN204" s="501"/>
      <c r="AO204" s="501"/>
      <c r="AP204" s="501"/>
      <c r="AQ204" s="35">
        <f t="shared" si="68"/>
        <v>0</v>
      </c>
      <c r="AR204" s="450" t="str">
        <f t="shared" si="47"/>
        <v/>
      </c>
      <c r="AS204" s="450" t="str">
        <f t="shared" si="48"/>
        <v/>
      </c>
      <c r="AT204" s="450" t="str">
        <f t="shared" si="49"/>
        <v/>
      </c>
      <c r="AU204" s="450" t="str">
        <f t="shared" si="50"/>
        <v/>
      </c>
      <c r="AV204" s="450" t="str">
        <f t="shared" si="51"/>
        <v/>
      </c>
      <c r="AW204" s="450" t="str">
        <f t="shared" si="52"/>
        <v/>
      </c>
      <c r="AX204" s="450" t="str">
        <f t="shared" si="53"/>
        <v/>
      </c>
      <c r="AY204" s="450" t="str">
        <f t="shared" si="54"/>
        <v/>
      </c>
      <c r="AZ204" s="450" t="str">
        <f t="shared" si="55"/>
        <v/>
      </c>
      <c r="BA204" s="450" t="str">
        <f t="shared" si="56"/>
        <v/>
      </c>
      <c r="BB204" s="450" t="str">
        <f t="shared" si="57"/>
        <v/>
      </c>
      <c r="BC204" s="450" t="str">
        <f t="shared" si="58"/>
        <v/>
      </c>
      <c r="BD204" s="450" t="str">
        <f t="shared" si="59"/>
        <v/>
      </c>
      <c r="BE204" s="450" t="str">
        <f t="shared" si="60"/>
        <v/>
      </c>
      <c r="BF204" s="450" t="str">
        <f t="shared" si="61"/>
        <v/>
      </c>
      <c r="BG204" s="450"/>
      <c r="BH204" s="450" t="str">
        <f t="shared" si="62"/>
        <v/>
      </c>
      <c r="BI204" s="450" t="str">
        <f t="shared" si="63"/>
        <v/>
      </c>
      <c r="BJ204" s="450" t="str">
        <f t="shared" si="64"/>
        <v/>
      </c>
      <c r="BK204" s="450" t="str">
        <f t="shared" si="65"/>
        <v/>
      </c>
      <c r="BL204" s="450" t="str">
        <f t="shared" si="66"/>
        <v/>
      </c>
      <c r="BM204" s="450" t="str">
        <f t="shared" si="67"/>
        <v/>
      </c>
      <c r="BN204" s="32"/>
      <c r="BO204" s="32"/>
    </row>
    <row r="205" spans="1:67" x14ac:dyDescent="0.2">
      <c r="A205" s="8"/>
      <c r="B205" s="8"/>
      <c r="C205" s="8"/>
      <c r="D205" s="8"/>
      <c r="E205" s="8"/>
      <c r="F205" s="8"/>
      <c r="G205" s="8"/>
      <c r="H205" s="8"/>
      <c r="I205" s="8"/>
      <c r="J205" s="8"/>
      <c r="K205" s="8"/>
      <c r="L205" s="528"/>
      <c r="M205" s="528"/>
      <c r="N205" s="448"/>
      <c r="O205" s="448"/>
      <c r="U205" s="501" t="s">
        <v>952</v>
      </c>
      <c r="V205" s="501"/>
      <c r="W205" s="501"/>
      <c r="X205" s="501"/>
      <c r="Y205" s="501"/>
      <c r="Z205" s="501"/>
      <c r="AA205" s="501"/>
      <c r="AB205" s="501"/>
      <c r="AC205" s="501">
        <v>1</v>
      </c>
      <c r="AD205" s="501">
        <v>1</v>
      </c>
      <c r="AE205" s="501">
        <v>1</v>
      </c>
      <c r="AF205" s="501">
        <v>1</v>
      </c>
      <c r="AG205" s="501">
        <v>1</v>
      </c>
      <c r="AH205" s="501"/>
      <c r="AI205" s="501"/>
      <c r="AJ205" s="501"/>
      <c r="AK205" s="501"/>
      <c r="AL205" s="501"/>
      <c r="AM205" s="501"/>
      <c r="AN205" s="501"/>
      <c r="AO205" s="501"/>
      <c r="AP205" s="501"/>
      <c r="AQ205" s="35">
        <f t="shared" si="68"/>
        <v>0</v>
      </c>
      <c r="AR205" s="450" t="str">
        <f t="shared" si="47"/>
        <v/>
      </c>
      <c r="AS205" s="450" t="str">
        <f t="shared" si="48"/>
        <v/>
      </c>
      <c r="AT205" s="450" t="str">
        <f t="shared" si="49"/>
        <v/>
      </c>
      <c r="AU205" s="450" t="str">
        <f t="shared" si="50"/>
        <v/>
      </c>
      <c r="AV205" s="450" t="str">
        <f t="shared" si="51"/>
        <v/>
      </c>
      <c r="AW205" s="450" t="str">
        <f t="shared" si="52"/>
        <v/>
      </c>
      <c r="AX205" s="450" t="str">
        <f t="shared" si="53"/>
        <v/>
      </c>
      <c r="AY205" s="450" t="str">
        <f t="shared" si="54"/>
        <v/>
      </c>
      <c r="AZ205" s="450" t="str">
        <f t="shared" si="55"/>
        <v/>
      </c>
      <c r="BA205" s="450" t="str">
        <f t="shared" si="56"/>
        <v/>
      </c>
      <c r="BB205" s="450" t="str">
        <f t="shared" si="57"/>
        <v/>
      </c>
      <c r="BC205" s="450" t="str">
        <f t="shared" si="58"/>
        <v/>
      </c>
      <c r="BD205" s="450" t="str">
        <f t="shared" si="59"/>
        <v/>
      </c>
      <c r="BE205" s="450" t="str">
        <f t="shared" si="60"/>
        <v/>
      </c>
      <c r="BF205" s="450" t="str">
        <f t="shared" si="61"/>
        <v/>
      </c>
      <c r="BG205" s="450"/>
      <c r="BH205" s="450" t="str">
        <f t="shared" si="62"/>
        <v/>
      </c>
      <c r="BI205" s="450" t="str">
        <f t="shared" si="63"/>
        <v/>
      </c>
      <c r="BJ205" s="450" t="str">
        <f t="shared" si="64"/>
        <v/>
      </c>
      <c r="BK205" s="450" t="str">
        <f t="shared" si="65"/>
        <v/>
      </c>
      <c r="BL205" s="450" t="str">
        <f t="shared" si="66"/>
        <v/>
      </c>
      <c r="BM205" s="450" t="str">
        <f t="shared" si="67"/>
        <v/>
      </c>
      <c r="BN205" s="32"/>
      <c r="BO205" s="32"/>
    </row>
    <row r="206" spans="1:67" x14ac:dyDescent="0.2">
      <c r="A206" s="8"/>
      <c r="B206" s="8"/>
      <c r="C206" s="8"/>
      <c r="D206" s="8"/>
      <c r="E206" s="8"/>
      <c r="F206" s="8"/>
      <c r="G206" s="8"/>
      <c r="H206" s="8"/>
      <c r="I206" s="8"/>
      <c r="J206" s="8"/>
      <c r="K206" s="8"/>
      <c r="L206" s="528"/>
      <c r="M206" s="528"/>
      <c r="N206" s="448"/>
      <c r="O206" s="448"/>
      <c r="U206" s="501" t="s">
        <v>953</v>
      </c>
      <c r="V206" s="501"/>
      <c r="W206" s="501"/>
      <c r="X206" s="501"/>
      <c r="Y206" s="501"/>
      <c r="Z206" s="501"/>
      <c r="AA206" s="501"/>
      <c r="AB206" s="501"/>
      <c r="AC206" s="501"/>
      <c r="AD206" s="501">
        <v>1</v>
      </c>
      <c r="AE206" s="501">
        <v>1</v>
      </c>
      <c r="AF206" s="501">
        <v>1</v>
      </c>
      <c r="AG206" s="501">
        <v>1</v>
      </c>
      <c r="AH206" s="501">
        <v>1</v>
      </c>
      <c r="AI206" s="501"/>
      <c r="AJ206" s="501"/>
      <c r="AK206" s="501"/>
      <c r="AL206" s="501"/>
      <c r="AM206" s="501"/>
      <c r="AN206" s="501"/>
      <c r="AO206" s="501"/>
      <c r="AP206" s="501"/>
      <c r="AQ206" s="35">
        <f t="shared" si="68"/>
        <v>0</v>
      </c>
      <c r="AR206" s="450" t="str">
        <f t="shared" si="47"/>
        <v/>
      </c>
      <c r="AS206" s="450" t="str">
        <f t="shared" si="48"/>
        <v/>
      </c>
      <c r="AT206" s="450" t="str">
        <f t="shared" si="49"/>
        <v/>
      </c>
      <c r="AU206" s="450" t="str">
        <f t="shared" si="50"/>
        <v/>
      </c>
      <c r="AV206" s="450" t="str">
        <f t="shared" si="51"/>
        <v/>
      </c>
      <c r="AW206" s="450" t="str">
        <f t="shared" si="52"/>
        <v/>
      </c>
      <c r="AX206" s="450" t="str">
        <f t="shared" si="53"/>
        <v/>
      </c>
      <c r="AY206" s="450" t="str">
        <f t="shared" si="54"/>
        <v/>
      </c>
      <c r="AZ206" s="450" t="str">
        <f t="shared" si="55"/>
        <v/>
      </c>
      <c r="BA206" s="450" t="str">
        <f t="shared" si="56"/>
        <v/>
      </c>
      <c r="BB206" s="450" t="str">
        <f t="shared" si="57"/>
        <v/>
      </c>
      <c r="BC206" s="450" t="str">
        <f t="shared" si="58"/>
        <v/>
      </c>
      <c r="BD206" s="450" t="str">
        <f t="shared" si="59"/>
        <v/>
      </c>
      <c r="BE206" s="450" t="str">
        <f t="shared" si="60"/>
        <v/>
      </c>
      <c r="BF206" s="450" t="str">
        <f t="shared" si="61"/>
        <v/>
      </c>
      <c r="BG206" s="450"/>
      <c r="BH206" s="450" t="str">
        <f t="shared" si="62"/>
        <v/>
      </c>
      <c r="BI206" s="450" t="str">
        <f t="shared" si="63"/>
        <v/>
      </c>
      <c r="BJ206" s="450" t="str">
        <f t="shared" si="64"/>
        <v/>
      </c>
      <c r="BK206" s="450" t="str">
        <f t="shared" si="65"/>
        <v/>
      </c>
      <c r="BL206" s="450" t="str">
        <f t="shared" si="66"/>
        <v/>
      </c>
      <c r="BM206" s="450" t="str">
        <f t="shared" si="67"/>
        <v/>
      </c>
      <c r="BN206" s="32"/>
      <c r="BO206" s="32"/>
    </row>
    <row r="207" spans="1:67" x14ac:dyDescent="0.2">
      <c r="A207" s="8"/>
      <c r="B207" s="8"/>
      <c r="C207" s="8"/>
      <c r="D207" s="8"/>
      <c r="E207" s="8"/>
      <c r="F207" s="8"/>
      <c r="G207" s="8"/>
      <c r="H207" s="8"/>
      <c r="I207" s="8"/>
      <c r="J207" s="8"/>
      <c r="K207" s="8"/>
      <c r="L207" s="528"/>
      <c r="M207" s="528"/>
      <c r="N207" s="448"/>
      <c r="O207" s="448"/>
      <c r="U207" s="323" t="s">
        <v>2989</v>
      </c>
      <c r="V207" s="501"/>
      <c r="W207" s="501"/>
      <c r="X207" s="501"/>
      <c r="Y207" s="501"/>
      <c r="Z207" s="501"/>
      <c r="AA207" s="501"/>
      <c r="AB207" s="501"/>
      <c r="AC207" s="501"/>
      <c r="AD207" s="501">
        <v>1</v>
      </c>
      <c r="AE207" s="501">
        <v>1</v>
      </c>
      <c r="AF207" s="501">
        <v>1</v>
      </c>
      <c r="AG207" s="501">
        <v>1</v>
      </c>
      <c r="AH207" s="501">
        <v>1</v>
      </c>
      <c r="AI207" s="501">
        <v>1</v>
      </c>
      <c r="AJ207" s="501"/>
      <c r="AK207" s="501"/>
      <c r="AL207" s="501"/>
      <c r="AM207" s="501"/>
      <c r="AN207" s="501"/>
      <c r="AO207" s="501"/>
      <c r="AP207" s="501"/>
      <c r="AQ207" s="35">
        <f t="shared" si="68"/>
        <v>0</v>
      </c>
      <c r="AR207" s="450" t="str">
        <f t="shared" ref="AR207:AR212" si="71">IF($AQ207=0,"",IF(AND(AR$188=1,V207&gt;0),V207,""))</f>
        <v/>
      </c>
      <c r="AS207" s="450" t="str">
        <f t="shared" ref="AS207:AS212" si="72">IF($AQ207=0,"",IF(AND(AS$188=1,W207&gt;0),W207,""))</f>
        <v/>
      </c>
      <c r="AT207" s="450" t="str">
        <f t="shared" ref="AT207:AT212" si="73">IF($AQ207=0,"",IF(AND(AT$188=1,X207&gt;0),X207,""))</f>
        <v/>
      </c>
      <c r="AU207" s="450" t="str">
        <f t="shared" ref="AU207:AU212" si="74">IF($AQ207=0,"",IF(AND(AU$188=1,Y207&gt;0),Y207,""))</f>
        <v/>
      </c>
      <c r="AV207" s="450" t="str">
        <f t="shared" ref="AV207:AV212" si="75">IF($AQ207=0,"",IF(AND(AV$188=1,Z207&gt;0),Z207,""))</f>
        <v/>
      </c>
      <c r="AW207" s="450" t="str">
        <f t="shared" ref="AW207:AW212" si="76">IF($AQ207=0,"",IF(AND(AW$188=1,AA207&gt;0),AA207,""))</f>
        <v/>
      </c>
      <c r="AX207" s="450" t="str">
        <f t="shared" ref="AX207:AX212" si="77">IF($AQ207=0,"",IF(AND(AX$188=1,AB207&gt;0),AB207,""))</f>
        <v/>
      </c>
      <c r="AY207" s="450" t="str">
        <f t="shared" ref="AY207:AY212" si="78">IF($AQ207=0,"",IF(AND(AY$188=1,AC207&gt;0),AC207,""))</f>
        <v/>
      </c>
      <c r="AZ207" s="450" t="str">
        <f t="shared" ref="AZ207:AZ212" si="79">IF($AQ207=0,"",IF(AND(AZ$188=1,AD207&gt;0),AD207,""))</f>
        <v/>
      </c>
      <c r="BA207" s="450" t="str">
        <f t="shared" ref="BA207:BA212" si="80">IF($AQ207=0,"",IF(AND(BA$188=1,AE207&gt;0),AE207,""))</f>
        <v/>
      </c>
      <c r="BB207" s="450" t="str">
        <f t="shared" ref="BB207:BB212" si="81">IF($AQ207=0,"",IF(AND(BB$188=1,AF207&gt;0),AF207,""))</f>
        <v/>
      </c>
      <c r="BC207" s="450" t="str">
        <f t="shared" ref="BC207:BC212" si="82">IF($AQ207=0,"",IF(AND(BC$188=1,AG207&gt;0),AG207,""))</f>
        <v/>
      </c>
      <c r="BD207" s="450" t="str">
        <f t="shared" ref="BD207:BD212" si="83">IF($AQ207=0,"",IF(AND(BD$188=1,AH207&gt;0),AH207,""))</f>
        <v/>
      </c>
      <c r="BE207" s="450" t="str">
        <f t="shared" ref="BE207:BE212" si="84">IF($AQ207=0,"",IF(AND(BE$188=1,AI207&gt;0),AI207,""))</f>
        <v/>
      </c>
      <c r="BF207" s="450" t="str">
        <f t="shared" ref="BF207:BF212" si="85">IF($AQ207=0,"",IF(AND(BF$188=1,AJ207&gt;0),AJ207,""))</f>
        <v/>
      </c>
      <c r="BG207" s="450"/>
      <c r="BH207" s="450" t="str">
        <f t="shared" ref="BH207:BH212" si="86">IF($AQ207=0,"",IF(AND(BH$188=1,AK207&gt;0),AK207,""))</f>
        <v/>
      </c>
      <c r="BI207" s="450" t="str">
        <f t="shared" ref="BI207:BI212" si="87">IF($AQ207=0,"",IF(AND(BI$188=1,AL207&gt;0),AL207,""))</f>
        <v/>
      </c>
      <c r="BJ207" s="450" t="str">
        <f t="shared" ref="BJ207:BJ212" si="88">IF($AQ207=0,"",IF(AND(BJ$188=1,AM207&gt;0),AM207,""))</f>
        <v/>
      </c>
      <c r="BK207" s="450" t="str">
        <f t="shared" ref="BK207:BK212" si="89">IF($AQ207=0,"",IF(AND(BK$188=1,AN207&gt;0),AN207,""))</f>
        <v/>
      </c>
      <c r="BL207" s="450" t="str">
        <f t="shared" ref="BL207:BL212" si="90">IF($AQ207=0,"",IF(AND(BL$188=1,AO207&gt;0),AO207,""))</f>
        <v/>
      </c>
      <c r="BM207" s="450" t="str">
        <f t="shared" ref="BM207:BM212" si="91">IF($AQ207=0,"",IF(AND(BM$188=1,AP207&gt;0),AP207,""))</f>
        <v/>
      </c>
      <c r="BN207" s="32"/>
      <c r="BO207" s="32"/>
    </row>
    <row r="208" spans="1:67" x14ac:dyDescent="0.2">
      <c r="A208" s="8"/>
      <c r="B208" s="8"/>
      <c r="C208" s="8"/>
      <c r="D208" s="8"/>
      <c r="E208" s="8"/>
      <c r="F208" s="8"/>
      <c r="G208" s="8"/>
      <c r="H208" s="8"/>
      <c r="I208" s="8"/>
      <c r="J208" s="8"/>
      <c r="K208" s="8"/>
      <c r="L208" s="528"/>
      <c r="M208" s="528"/>
      <c r="N208" s="448"/>
      <c r="O208" s="448"/>
      <c r="U208" s="501" t="s">
        <v>954</v>
      </c>
      <c r="V208" s="501"/>
      <c r="W208" s="501"/>
      <c r="X208" s="501"/>
      <c r="Y208" s="501"/>
      <c r="Z208" s="501"/>
      <c r="AA208" s="501"/>
      <c r="AB208" s="501"/>
      <c r="AC208" s="501"/>
      <c r="AD208" s="501"/>
      <c r="AE208" s="501"/>
      <c r="AF208" s="501"/>
      <c r="AG208" s="501"/>
      <c r="AH208" s="501"/>
      <c r="AI208" s="501"/>
      <c r="AJ208" s="501"/>
      <c r="AK208" s="501">
        <v>1</v>
      </c>
      <c r="AL208" s="501">
        <v>1</v>
      </c>
      <c r="AM208" s="501">
        <v>1</v>
      </c>
      <c r="AN208" s="501">
        <v>1</v>
      </c>
      <c r="AO208" s="501"/>
      <c r="AP208" s="501"/>
      <c r="AQ208" s="35">
        <f t="shared" si="68"/>
        <v>0</v>
      </c>
      <c r="AR208" s="450" t="str">
        <f t="shared" si="71"/>
        <v/>
      </c>
      <c r="AS208" s="450" t="str">
        <f t="shared" si="72"/>
        <v/>
      </c>
      <c r="AT208" s="450" t="str">
        <f t="shared" si="73"/>
        <v/>
      </c>
      <c r="AU208" s="450" t="str">
        <f t="shared" si="74"/>
        <v/>
      </c>
      <c r="AV208" s="450" t="str">
        <f t="shared" si="75"/>
        <v/>
      </c>
      <c r="AW208" s="450" t="str">
        <f t="shared" si="76"/>
        <v/>
      </c>
      <c r="AX208" s="450" t="str">
        <f t="shared" si="77"/>
        <v/>
      </c>
      <c r="AY208" s="450" t="str">
        <f t="shared" si="78"/>
        <v/>
      </c>
      <c r="AZ208" s="450" t="str">
        <f t="shared" si="79"/>
        <v/>
      </c>
      <c r="BA208" s="450" t="str">
        <f t="shared" si="80"/>
        <v/>
      </c>
      <c r="BB208" s="450" t="str">
        <f t="shared" si="81"/>
        <v/>
      </c>
      <c r="BC208" s="450" t="str">
        <f t="shared" si="82"/>
        <v/>
      </c>
      <c r="BD208" s="450" t="str">
        <f t="shared" si="83"/>
        <v/>
      </c>
      <c r="BE208" s="450" t="str">
        <f t="shared" si="84"/>
        <v/>
      </c>
      <c r="BF208" s="450" t="str">
        <f t="shared" si="85"/>
        <v/>
      </c>
      <c r="BG208" s="450"/>
      <c r="BH208" s="450" t="str">
        <f t="shared" si="86"/>
        <v/>
      </c>
      <c r="BI208" s="450" t="str">
        <f t="shared" si="87"/>
        <v/>
      </c>
      <c r="BJ208" s="450" t="str">
        <f t="shared" si="88"/>
        <v/>
      </c>
      <c r="BK208" s="450" t="str">
        <f t="shared" si="89"/>
        <v/>
      </c>
      <c r="BL208" s="450" t="str">
        <f t="shared" si="90"/>
        <v/>
      </c>
      <c r="BM208" s="450" t="str">
        <f t="shared" si="91"/>
        <v/>
      </c>
      <c r="BN208" s="32"/>
      <c r="BO208" s="32"/>
    </row>
    <row r="209" spans="1:136" x14ac:dyDescent="0.2">
      <c r="A209" s="8"/>
      <c r="B209" s="8"/>
      <c r="C209" s="8"/>
      <c r="D209" s="8"/>
      <c r="E209" s="8"/>
      <c r="F209" s="8"/>
      <c r="G209" s="8"/>
      <c r="H209" s="8"/>
      <c r="I209" s="8"/>
      <c r="J209" s="8"/>
      <c r="K209" s="8"/>
      <c r="L209" s="528"/>
      <c r="M209" s="528"/>
      <c r="N209" s="448"/>
      <c r="O209" s="448"/>
      <c r="U209" s="501" t="s">
        <v>955</v>
      </c>
      <c r="V209" s="501"/>
      <c r="W209" s="501"/>
      <c r="X209" s="501"/>
      <c r="Y209" s="501"/>
      <c r="Z209" s="501"/>
      <c r="AA209" s="501"/>
      <c r="AB209" s="501"/>
      <c r="AC209" s="501"/>
      <c r="AD209" s="501"/>
      <c r="AE209" s="501"/>
      <c r="AF209" s="501"/>
      <c r="AG209" s="501"/>
      <c r="AH209" s="501"/>
      <c r="AI209" s="501"/>
      <c r="AJ209" s="501"/>
      <c r="AK209" s="501">
        <v>1</v>
      </c>
      <c r="AL209" s="501">
        <v>1</v>
      </c>
      <c r="AM209" s="501">
        <v>1</v>
      </c>
      <c r="AN209" s="501">
        <v>1</v>
      </c>
      <c r="AO209" s="501"/>
      <c r="AP209" s="501"/>
      <c r="AQ209" s="35">
        <f t="shared" si="68"/>
        <v>0</v>
      </c>
      <c r="AR209" s="450" t="str">
        <f t="shared" si="71"/>
        <v/>
      </c>
      <c r="AS209" s="450" t="str">
        <f t="shared" si="72"/>
        <v/>
      </c>
      <c r="AT209" s="450" t="str">
        <f t="shared" si="73"/>
        <v/>
      </c>
      <c r="AU209" s="450" t="str">
        <f t="shared" si="74"/>
        <v/>
      </c>
      <c r="AV209" s="450" t="str">
        <f t="shared" si="75"/>
        <v/>
      </c>
      <c r="AW209" s="450" t="str">
        <f t="shared" si="76"/>
        <v/>
      </c>
      <c r="AX209" s="450" t="str">
        <f t="shared" si="77"/>
        <v/>
      </c>
      <c r="AY209" s="450" t="str">
        <f t="shared" si="78"/>
        <v/>
      </c>
      <c r="AZ209" s="450" t="str">
        <f t="shared" si="79"/>
        <v/>
      </c>
      <c r="BA209" s="450" t="str">
        <f t="shared" si="80"/>
        <v/>
      </c>
      <c r="BB209" s="450" t="str">
        <f t="shared" si="81"/>
        <v/>
      </c>
      <c r="BC209" s="450" t="str">
        <f t="shared" si="82"/>
        <v/>
      </c>
      <c r="BD209" s="450" t="str">
        <f t="shared" si="83"/>
        <v/>
      </c>
      <c r="BE209" s="450" t="str">
        <f t="shared" si="84"/>
        <v/>
      </c>
      <c r="BF209" s="450" t="str">
        <f t="shared" si="85"/>
        <v/>
      </c>
      <c r="BG209" s="450"/>
      <c r="BH209" s="450" t="str">
        <f t="shared" si="86"/>
        <v/>
      </c>
      <c r="BI209" s="450" t="str">
        <f t="shared" si="87"/>
        <v/>
      </c>
      <c r="BJ209" s="450" t="str">
        <f t="shared" si="88"/>
        <v/>
      </c>
      <c r="BK209" s="450" t="str">
        <f t="shared" si="89"/>
        <v/>
      </c>
      <c r="BL209" s="450" t="str">
        <f t="shared" si="90"/>
        <v/>
      </c>
      <c r="BM209" s="450" t="str">
        <f t="shared" si="91"/>
        <v/>
      </c>
      <c r="BN209" s="32"/>
      <c r="BO209" s="32"/>
    </row>
    <row r="210" spans="1:136" x14ac:dyDescent="0.2">
      <c r="A210" s="8"/>
      <c r="B210" s="8"/>
      <c r="C210" s="8"/>
      <c r="D210" s="8"/>
      <c r="E210" s="8"/>
      <c r="F210" s="8"/>
      <c r="G210" s="8"/>
      <c r="H210" s="8"/>
      <c r="I210" s="8"/>
      <c r="J210" s="8"/>
      <c r="K210" s="8"/>
      <c r="L210" s="528"/>
      <c r="M210" s="528"/>
      <c r="N210" s="448"/>
      <c r="O210" s="448"/>
      <c r="U210" s="501" t="s">
        <v>956</v>
      </c>
      <c r="V210" s="501"/>
      <c r="W210" s="501"/>
      <c r="X210" s="501"/>
      <c r="Y210" s="501"/>
      <c r="Z210" s="501"/>
      <c r="AA210" s="501"/>
      <c r="AB210" s="501"/>
      <c r="AC210" s="501"/>
      <c r="AD210" s="501"/>
      <c r="AE210" s="501"/>
      <c r="AF210" s="501"/>
      <c r="AG210" s="501"/>
      <c r="AH210" s="501"/>
      <c r="AI210" s="501"/>
      <c r="AJ210" s="501"/>
      <c r="AK210" s="501">
        <v>1</v>
      </c>
      <c r="AL210" s="515"/>
      <c r="AM210" s="501">
        <v>1</v>
      </c>
      <c r="AN210" s="501">
        <v>1</v>
      </c>
      <c r="AO210" s="501">
        <v>1</v>
      </c>
      <c r="AP210" s="501"/>
      <c r="AQ210" s="35">
        <f t="shared" si="68"/>
        <v>0</v>
      </c>
      <c r="AR210" s="450" t="str">
        <f t="shared" si="71"/>
        <v/>
      </c>
      <c r="AS210" s="450" t="str">
        <f t="shared" si="72"/>
        <v/>
      </c>
      <c r="AT210" s="450" t="str">
        <f t="shared" si="73"/>
        <v/>
      </c>
      <c r="AU210" s="450" t="str">
        <f t="shared" si="74"/>
        <v/>
      </c>
      <c r="AV210" s="450" t="str">
        <f t="shared" si="75"/>
        <v/>
      </c>
      <c r="AW210" s="450" t="str">
        <f t="shared" si="76"/>
        <v/>
      </c>
      <c r="AX210" s="450" t="str">
        <f t="shared" si="77"/>
        <v/>
      </c>
      <c r="AY210" s="450" t="str">
        <f t="shared" si="78"/>
        <v/>
      </c>
      <c r="AZ210" s="450" t="str">
        <f t="shared" si="79"/>
        <v/>
      </c>
      <c r="BA210" s="450" t="str">
        <f t="shared" si="80"/>
        <v/>
      </c>
      <c r="BB210" s="450" t="str">
        <f t="shared" si="81"/>
        <v/>
      </c>
      <c r="BC210" s="450" t="str">
        <f t="shared" si="82"/>
        <v/>
      </c>
      <c r="BD210" s="450" t="str">
        <f t="shared" si="83"/>
        <v/>
      </c>
      <c r="BE210" s="450" t="str">
        <f t="shared" si="84"/>
        <v/>
      </c>
      <c r="BF210" s="450" t="str">
        <f t="shared" si="85"/>
        <v/>
      </c>
      <c r="BG210" s="450"/>
      <c r="BH210" s="450" t="str">
        <f t="shared" si="86"/>
        <v/>
      </c>
      <c r="BI210" s="450" t="str">
        <f t="shared" si="87"/>
        <v/>
      </c>
      <c r="BJ210" s="450" t="str">
        <f t="shared" si="88"/>
        <v/>
      </c>
      <c r="BK210" s="450" t="str">
        <f t="shared" si="89"/>
        <v/>
      </c>
      <c r="BL210" s="450" t="str">
        <f t="shared" si="90"/>
        <v/>
      </c>
      <c r="BM210" s="450" t="str">
        <f t="shared" si="91"/>
        <v/>
      </c>
      <c r="BN210" s="32"/>
      <c r="BO210" s="32"/>
    </row>
    <row r="211" spans="1:136" x14ac:dyDescent="0.2">
      <c r="A211" s="8"/>
      <c r="B211" s="8"/>
      <c r="C211" s="8"/>
      <c r="D211" s="8"/>
      <c r="E211" s="8"/>
      <c r="F211" s="8"/>
      <c r="G211" s="8"/>
      <c r="H211" s="8"/>
      <c r="I211" s="8"/>
      <c r="J211" s="8"/>
      <c r="K211" s="8"/>
      <c r="L211" s="528"/>
      <c r="M211" s="528"/>
      <c r="N211" s="448"/>
      <c r="O211" s="448"/>
      <c r="U211" s="323" t="s">
        <v>2990</v>
      </c>
      <c r="V211" s="501"/>
      <c r="W211" s="501"/>
      <c r="X211" s="501"/>
      <c r="Y211" s="501"/>
      <c r="Z211" s="501"/>
      <c r="AA211" s="501"/>
      <c r="AB211" s="501"/>
      <c r="AC211" s="501"/>
      <c r="AD211" s="501"/>
      <c r="AE211" s="501"/>
      <c r="AF211" s="501"/>
      <c r="AG211" s="501"/>
      <c r="AH211" s="501"/>
      <c r="AI211" s="501"/>
      <c r="AJ211" s="501"/>
      <c r="AK211" s="501">
        <v>2</v>
      </c>
      <c r="AL211" s="515">
        <v>2</v>
      </c>
      <c r="AM211" s="501">
        <v>2</v>
      </c>
      <c r="AN211" s="501">
        <v>2</v>
      </c>
      <c r="AO211" s="501">
        <v>2</v>
      </c>
      <c r="AP211" s="501">
        <v>2</v>
      </c>
      <c r="AQ211" s="35">
        <f t="shared" si="68"/>
        <v>0</v>
      </c>
      <c r="AR211" s="450" t="str">
        <f t="shared" ref="AR211:BF211" si="92">IF($AQ211=0,"",IF(AND(AR$188=1,V211&gt;0),V211,""))</f>
        <v/>
      </c>
      <c r="AS211" s="450" t="str">
        <f t="shared" si="92"/>
        <v/>
      </c>
      <c r="AT211" s="450" t="str">
        <f t="shared" si="92"/>
        <v/>
      </c>
      <c r="AU211" s="450" t="str">
        <f t="shared" si="92"/>
        <v/>
      </c>
      <c r="AV211" s="450" t="str">
        <f t="shared" si="92"/>
        <v/>
      </c>
      <c r="AW211" s="450" t="str">
        <f t="shared" si="92"/>
        <v/>
      </c>
      <c r="AX211" s="450" t="str">
        <f t="shared" si="92"/>
        <v/>
      </c>
      <c r="AY211" s="450" t="str">
        <f t="shared" si="92"/>
        <v/>
      </c>
      <c r="AZ211" s="450" t="str">
        <f t="shared" si="92"/>
        <v/>
      </c>
      <c r="BA211" s="450" t="str">
        <f t="shared" si="92"/>
        <v/>
      </c>
      <c r="BB211" s="450" t="str">
        <f t="shared" si="92"/>
        <v/>
      </c>
      <c r="BC211" s="450" t="str">
        <f t="shared" si="92"/>
        <v/>
      </c>
      <c r="BD211" s="450" t="str">
        <f t="shared" si="92"/>
        <v/>
      </c>
      <c r="BE211" s="450" t="str">
        <f t="shared" si="92"/>
        <v/>
      </c>
      <c r="BF211" s="450" t="str">
        <f t="shared" si="92"/>
        <v/>
      </c>
      <c r="BG211" s="450"/>
      <c r="BH211" s="450" t="str">
        <f t="shared" ref="BH211:BM211" si="93">IF($AQ211=0,"",IF(AND(BH$188=1,AK211&gt;0),AK211,""))</f>
        <v/>
      </c>
      <c r="BI211" s="450" t="str">
        <f t="shared" si="93"/>
        <v/>
      </c>
      <c r="BJ211" s="450" t="str">
        <f t="shared" si="93"/>
        <v/>
      </c>
      <c r="BK211" s="450" t="str">
        <f t="shared" si="93"/>
        <v/>
      </c>
      <c r="BL211" s="450" t="str">
        <f t="shared" si="93"/>
        <v/>
      </c>
      <c r="BM211" s="450" t="str">
        <f t="shared" si="93"/>
        <v/>
      </c>
      <c r="BN211" s="32"/>
      <c r="BO211" s="32"/>
    </row>
    <row r="212" spans="1:136" x14ac:dyDescent="0.2">
      <c r="A212" s="8"/>
      <c r="B212" s="8"/>
      <c r="C212" s="8"/>
      <c r="D212" s="8"/>
      <c r="E212" s="8"/>
      <c r="F212" s="8"/>
      <c r="G212" s="8"/>
      <c r="H212" s="8"/>
      <c r="I212" s="8"/>
      <c r="J212" s="8"/>
      <c r="K212" s="8"/>
      <c r="L212" s="528"/>
      <c r="M212" s="528"/>
      <c r="N212" s="448"/>
      <c r="O212" s="448"/>
      <c r="U212" s="501" t="s">
        <v>957</v>
      </c>
      <c r="V212" s="501"/>
      <c r="W212" s="501"/>
      <c r="X212" s="501"/>
      <c r="Y212" s="501"/>
      <c r="Z212" s="501"/>
      <c r="AA212" s="501"/>
      <c r="AB212" s="501"/>
      <c r="AC212" s="501"/>
      <c r="AD212" s="501"/>
      <c r="AE212" s="501"/>
      <c r="AF212" s="501"/>
      <c r="AG212" s="501"/>
      <c r="AH212" s="501"/>
      <c r="AI212" s="501"/>
      <c r="AJ212" s="501"/>
      <c r="AK212" s="501">
        <v>2</v>
      </c>
      <c r="AL212" s="515"/>
      <c r="AM212" s="501">
        <v>2</v>
      </c>
      <c r="AN212" s="501">
        <v>2</v>
      </c>
      <c r="AO212" s="501">
        <v>2</v>
      </c>
      <c r="AP212" s="501"/>
      <c r="AQ212" s="35">
        <f t="shared" si="68"/>
        <v>0</v>
      </c>
      <c r="AR212" s="450" t="str">
        <f t="shared" si="71"/>
        <v/>
      </c>
      <c r="AS212" s="450" t="str">
        <f t="shared" si="72"/>
        <v/>
      </c>
      <c r="AT212" s="450" t="str">
        <f t="shared" si="73"/>
        <v/>
      </c>
      <c r="AU212" s="450" t="str">
        <f t="shared" si="74"/>
        <v/>
      </c>
      <c r="AV212" s="450" t="str">
        <f t="shared" si="75"/>
        <v/>
      </c>
      <c r="AW212" s="450" t="str">
        <f t="shared" si="76"/>
        <v/>
      </c>
      <c r="AX212" s="450" t="str">
        <f t="shared" si="77"/>
        <v/>
      </c>
      <c r="AY212" s="450" t="str">
        <f t="shared" si="78"/>
        <v/>
      </c>
      <c r="AZ212" s="450" t="str">
        <f t="shared" si="79"/>
        <v/>
      </c>
      <c r="BA212" s="450" t="str">
        <f t="shared" si="80"/>
        <v/>
      </c>
      <c r="BB212" s="450" t="str">
        <f t="shared" si="81"/>
        <v/>
      </c>
      <c r="BC212" s="450" t="str">
        <f t="shared" si="82"/>
        <v/>
      </c>
      <c r="BD212" s="450" t="str">
        <f t="shared" si="83"/>
        <v/>
      </c>
      <c r="BE212" s="450" t="str">
        <f t="shared" si="84"/>
        <v/>
      </c>
      <c r="BF212" s="450" t="str">
        <f t="shared" si="85"/>
        <v/>
      </c>
      <c r="BG212" s="450"/>
      <c r="BH212" s="450" t="str">
        <f t="shared" si="86"/>
        <v/>
      </c>
      <c r="BI212" s="450" t="str">
        <f t="shared" si="87"/>
        <v/>
      </c>
      <c r="BJ212" s="450" t="str">
        <f t="shared" si="88"/>
        <v/>
      </c>
      <c r="BK212" s="450" t="str">
        <f t="shared" si="89"/>
        <v/>
      </c>
      <c r="BL212" s="450" t="str">
        <f t="shared" si="90"/>
        <v/>
      </c>
      <c r="BM212" s="450" t="str">
        <f t="shared" si="91"/>
        <v/>
      </c>
      <c r="BN212" s="32"/>
      <c r="BO212" s="32"/>
    </row>
    <row r="213" spans="1:136" x14ac:dyDescent="0.2">
      <c r="A213" s="8"/>
      <c r="B213" s="8"/>
      <c r="C213" s="8"/>
      <c r="D213" s="8"/>
      <c r="E213" s="8"/>
      <c r="F213" s="8"/>
      <c r="G213" s="8"/>
      <c r="H213" s="8"/>
      <c r="I213" s="8"/>
      <c r="J213" s="8"/>
      <c r="K213" s="8"/>
      <c r="L213" s="528"/>
      <c r="M213" s="528"/>
      <c r="N213" s="448"/>
      <c r="O213" s="448"/>
      <c r="U213" s="323" t="s">
        <v>2993</v>
      </c>
      <c r="V213" s="501"/>
      <c r="W213" s="501"/>
      <c r="X213" s="501"/>
      <c r="Y213" s="501"/>
      <c r="Z213" s="501"/>
      <c r="AA213" s="501"/>
      <c r="AB213" s="501"/>
      <c r="AC213" s="501"/>
      <c r="AD213" s="501"/>
      <c r="AE213" s="501"/>
      <c r="AF213" s="501"/>
      <c r="AG213" s="501"/>
      <c r="AH213" s="501"/>
      <c r="AI213" s="501"/>
      <c r="AJ213" s="501"/>
      <c r="AK213" s="501">
        <v>2</v>
      </c>
      <c r="AL213" s="515"/>
      <c r="AM213" s="501"/>
      <c r="AN213" s="501">
        <v>2</v>
      </c>
      <c r="AO213" s="501">
        <v>2</v>
      </c>
      <c r="AP213" s="501">
        <v>2</v>
      </c>
      <c r="AQ213" s="35">
        <f t="shared" si="68"/>
        <v>1</v>
      </c>
      <c r="AR213" s="450" t="str">
        <f t="shared" ref="AR213:BF216" si="94">IF($AQ213=0,"",IF(AND(AR$188=1,V213&gt;0),V213,""))</f>
        <v/>
      </c>
      <c r="AS213" s="450" t="str">
        <f t="shared" si="94"/>
        <v/>
      </c>
      <c r="AT213" s="450" t="str">
        <f t="shared" si="94"/>
        <v/>
      </c>
      <c r="AU213" s="450" t="str">
        <f t="shared" si="94"/>
        <v/>
      </c>
      <c r="AV213" s="450" t="str">
        <f t="shared" si="94"/>
        <v/>
      </c>
      <c r="AW213" s="450" t="str">
        <f t="shared" si="94"/>
        <v/>
      </c>
      <c r="AX213" s="450" t="str">
        <f t="shared" si="94"/>
        <v/>
      </c>
      <c r="AY213" s="450" t="str">
        <f t="shared" si="94"/>
        <v/>
      </c>
      <c r="AZ213" s="450" t="str">
        <f t="shared" si="94"/>
        <v/>
      </c>
      <c r="BA213" s="450" t="str">
        <f t="shared" si="94"/>
        <v/>
      </c>
      <c r="BB213" s="450" t="str">
        <f t="shared" si="94"/>
        <v/>
      </c>
      <c r="BC213" s="450" t="str">
        <f t="shared" si="94"/>
        <v/>
      </c>
      <c r="BD213" s="450" t="str">
        <f t="shared" si="94"/>
        <v/>
      </c>
      <c r="BE213" s="450" t="str">
        <f t="shared" si="94"/>
        <v/>
      </c>
      <c r="BF213" s="450" t="str">
        <f t="shared" si="94"/>
        <v/>
      </c>
      <c r="BG213" s="450"/>
      <c r="BH213" s="450">
        <f t="shared" ref="BH213:BM216" si="95">IF($AQ213=0,"",IF(AND(BH$188=1,AK213&gt;0),AK213,""))</f>
        <v>2</v>
      </c>
      <c r="BI213" s="450" t="str">
        <f t="shared" si="95"/>
        <v/>
      </c>
      <c r="BJ213" s="450" t="str">
        <f t="shared" si="95"/>
        <v/>
      </c>
      <c r="BK213" s="450" t="str">
        <f t="shared" si="95"/>
        <v/>
      </c>
      <c r="BL213" s="450" t="str">
        <f t="shared" si="95"/>
        <v/>
      </c>
      <c r="BM213" s="450" t="str">
        <f t="shared" si="95"/>
        <v/>
      </c>
      <c r="BN213" s="32"/>
      <c r="BO213" s="32"/>
    </row>
    <row r="214" spans="1:136" x14ac:dyDescent="0.2">
      <c r="A214" s="8"/>
      <c r="B214" s="8"/>
      <c r="C214" s="8"/>
      <c r="D214" s="8"/>
      <c r="E214" s="8"/>
      <c r="F214" s="8"/>
      <c r="G214" s="8"/>
      <c r="H214" s="8"/>
      <c r="I214" s="8"/>
      <c r="J214" s="8"/>
      <c r="K214" s="8"/>
      <c r="L214" s="528"/>
      <c r="M214" s="528"/>
      <c r="N214" s="448"/>
      <c r="O214" s="448"/>
      <c r="U214" s="501" t="s">
        <v>2123</v>
      </c>
      <c r="V214" s="501"/>
      <c r="W214" s="501"/>
      <c r="X214" s="501"/>
      <c r="Y214" s="501"/>
      <c r="Z214" s="501"/>
      <c r="AA214" s="501"/>
      <c r="AB214" s="501"/>
      <c r="AC214" s="501"/>
      <c r="AD214" s="501"/>
      <c r="AE214" s="501"/>
      <c r="AF214" s="501"/>
      <c r="AG214" s="501"/>
      <c r="AH214" s="501"/>
      <c r="AI214" s="501"/>
      <c r="AJ214" s="501"/>
      <c r="AK214" s="501">
        <v>2</v>
      </c>
      <c r="AL214" s="501">
        <v>2</v>
      </c>
      <c r="AM214" s="501">
        <v>2</v>
      </c>
      <c r="AN214" s="501">
        <v>2</v>
      </c>
      <c r="AO214" s="501">
        <v>2</v>
      </c>
      <c r="AP214" s="501"/>
      <c r="AQ214" s="35">
        <f t="shared" si="68"/>
        <v>0</v>
      </c>
      <c r="AR214" s="450" t="str">
        <f t="shared" si="94"/>
        <v/>
      </c>
      <c r="AS214" s="450" t="str">
        <f t="shared" si="94"/>
        <v/>
      </c>
      <c r="AT214" s="450" t="str">
        <f t="shared" si="94"/>
        <v/>
      </c>
      <c r="AU214" s="450" t="str">
        <f t="shared" si="94"/>
        <v/>
      </c>
      <c r="AV214" s="450" t="str">
        <f t="shared" si="94"/>
        <v/>
      </c>
      <c r="AW214" s="450" t="str">
        <f t="shared" si="94"/>
        <v/>
      </c>
      <c r="AX214" s="450" t="str">
        <f t="shared" si="94"/>
        <v/>
      </c>
      <c r="AY214" s="450" t="str">
        <f t="shared" si="94"/>
        <v/>
      </c>
      <c r="AZ214" s="450" t="str">
        <f t="shared" si="94"/>
        <v/>
      </c>
      <c r="BA214" s="450" t="str">
        <f t="shared" si="94"/>
        <v/>
      </c>
      <c r="BB214" s="450" t="str">
        <f t="shared" si="94"/>
        <v/>
      </c>
      <c r="BC214" s="450" t="str">
        <f t="shared" si="94"/>
        <v/>
      </c>
      <c r="BD214" s="450" t="str">
        <f t="shared" si="94"/>
        <v/>
      </c>
      <c r="BE214" s="450" t="str">
        <f t="shared" si="94"/>
        <v/>
      </c>
      <c r="BF214" s="450" t="str">
        <f t="shared" si="94"/>
        <v/>
      </c>
      <c r="BG214" s="450"/>
      <c r="BH214" s="450" t="str">
        <f t="shared" si="95"/>
        <v/>
      </c>
      <c r="BI214" s="450" t="str">
        <f t="shared" si="95"/>
        <v/>
      </c>
      <c r="BJ214" s="450" t="str">
        <f t="shared" si="95"/>
        <v/>
      </c>
      <c r="BK214" s="450" t="str">
        <f t="shared" si="95"/>
        <v/>
      </c>
      <c r="BL214" s="450" t="str">
        <f t="shared" si="95"/>
        <v/>
      </c>
      <c r="BM214" s="450" t="str">
        <f t="shared" si="95"/>
        <v/>
      </c>
      <c r="BN214" s="32"/>
      <c r="BO214" s="32"/>
    </row>
    <row r="215" spans="1:136" x14ac:dyDescent="0.2">
      <c r="A215" s="8"/>
      <c r="B215" s="8"/>
      <c r="C215" s="8"/>
      <c r="D215" s="8"/>
      <c r="E215" s="8"/>
      <c r="F215" s="8"/>
      <c r="G215" s="8"/>
      <c r="H215" s="8"/>
      <c r="I215" s="8"/>
      <c r="J215" s="8"/>
      <c r="K215" s="8"/>
      <c r="L215" s="528"/>
      <c r="M215" s="528"/>
      <c r="N215" s="448"/>
      <c r="O215" s="448"/>
      <c r="U215" s="501" t="s">
        <v>2134</v>
      </c>
      <c r="V215" s="501"/>
      <c r="W215" s="501"/>
      <c r="X215" s="501"/>
      <c r="Y215" s="501"/>
      <c r="Z215" s="501"/>
      <c r="AA215" s="501"/>
      <c r="AB215" s="501"/>
      <c r="AC215" s="501"/>
      <c r="AD215" s="501"/>
      <c r="AE215" s="501"/>
      <c r="AF215" s="501"/>
      <c r="AG215" s="501"/>
      <c r="AH215" s="501"/>
      <c r="AI215" s="501"/>
      <c r="AJ215" s="501"/>
      <c r="AK215" s="501">
        <v>2</v>
      </c>
      <c r="AL215" s="515"/>
      <c r="AM215" s="515"/>
      <c r="AN215" s="501">
        <v>2</v>
      </c>
      <c r="AO215" s="501">
        <v>2</v>
      </c>
      <c r="AP215" s="501">
        <v>2</v>
      </c>
      <c r="AQ215" s="35">
        <f t="shared" si="68"/>
        <v>0</v>
      </c>
      <c r="AR215" s="450" t="str">
        <f t="shared" si="94"/>
        <v/>
      </c>
      <c r="AS215" s="450" t="str">
        <f t="shared" si="94"/>
        <v/>
      </c>
      <c r="AT215" s="450" t="str">
        <f t="shared" si="94"/>
        <v/>
      </c>
      <c r="AU215" s="450" t="str">
        <f t="shared" si="94"/>
        <v/>
      </c>
      <c r="AV215" s="450" t="str">
        <f t="shared" si="94"/>
        <v/>
      </c>
      <c r="AW215" s="450" t="str">
        <f t="shared" si="94"/>
        <v/>
      </c>
      <c r="AX215" s="450" t="str">
        <f t="shared" si="94"/>
        <v/>
      </c>
      <c r="AY215" s="450" t="str">
        <f t="shared" si="94"/>
        <v/>
      </c>
      <c r="AZ215" s="450" t="str">
        <f t="shared" si="94"/>
        <v/>
      </c>
      <c r="BA215" s="450" t="str">
        <f t="shared" si="94"/>
        <v/>
      </c>
      <c r="BB215" s="450" t="str">
        <f t="shared" si="94"/>
        <v/>
      </c>
      <c r="BC215" s="450" t="str">
        <f t="shared" si="94"/>
        <v/>
      </c>
      <c r="BD215" s="450" t="str">
        <f t="shared" si="94"/>
        <v/>
      </c>
      <c r="BE215" s="450" t="str">
        <f t="shared" si="94"/>
        <v/>
      </c>
      <c r="BF215" s="450" t="str">
        <f t="shared" si="94"/>
        <v/>
      </c>
      <c r="BG215" s="450"/>
      <c r="BH215" s="450" t="str">
        <f t="shared" si="95"/>
        <v/>
      </c>
      <c r="BI215" s="450" t="str">
        <f t="shared" si="95"/>
        <v/>
      </c>
      <c r="BJ215" s="450" t="str">
        <f t="shared" si="95"/>
        <v/>
      </c>
      <c r="BK215" s="450" t="str">
        <f t="shared" si="95"/>
        <v/>
      </c>
      <c r="BL215" s="450" t="str">
        <f t="shared" si="95"/>
        <v/>
      </c>
      <c r="BM215" s="450" t="str">
        <f t="shared" si="95"/>
        <v/>
      </c>
      <c r="BN215" s="32"/>
      <c r="BO215" s="32"/>
    </row>
    <row r="216" spans="1:136" x14ac:dyDescent="0.2">
      <c r="A216" s="8"/>
      <c r="B216" s="8"/>
      <c r="C216" s="8"/>
      <c r="D216" s="8"/>
      <c r="E216" s="8"/>
      <c r="F216" s="8"/>
      <c r="G216" s="8"/>
      <c r="H216" s="8"/>
      <c r="I216" s="8"/>
      <c r="J216" s="8"/>
      <c r="K216" s="8"/>
      <c r="L216" s="528"/>
      <c r="M216" s="528"/>
      <c r="N216" s="448"/>
      <c r="O216" s="448"/>
      <c r="U216" s="501" t="s">
        <v>2135</v>
      </c>
      <c r="V216" s="501"/>
      <c r="W216" s="501"/>
      <c r="X216" s="501"/>
      <c r="Y216" s="501"/>
      <c r="Z216" s="501"/>
      <c r="AA216" s="501"/>
      <c r="AB216" s="501"/>
      <c r="AC216" s="501"/>
      <c r="AD216" s="501"/>
      <c r="AE216" s="501"/>
      <c r="AF216" s="501"/>
      <c r="AG216" s="501"/>
      <c r="AH216" s="501"/>
      <c r="AI216" s="501"/>
      <c r="AJ216" s="501"/>
      <c r="AK216" s="501">
        <v>4</v>
      </c>
      <c r="AL216" s="501"/>
      <c r="AM216" s="501"/>
      <c r="AN216" s="501">
        <v>4</v>
      </c>
      <c r="AO216" s="501">
        <v>4</v>
      </c>
      <c r="AP216" s="501">
        <v>4</v>
      </c>
      <c r="AQ216" s="35">
        <f t="shared" si="68"/>
        <v>0</v>
      </c>
      <c r="AR216" s="450" t="str">
        <f t="shared" si="94"/>
        <v/>
      </c>
      <c r="AS216" s="450" t="str">
        <f t="shared" si="94"/>
        <v/>
      </c>
      <c r="AT216" s="450" t="str">
        <f t="shared" si="94"/>
        <v/>
      </c>
      <c r="AU216" s="450" t="str">
        <f t="shared" si="94"/>
        <v/>
      </c>
      <c r="AV216" s="450" t="str">
        <f t="shared" si="94"/>
        <v/>
      </c>
      <c r="AW216" s="450" t="str">
        <f t="shared" si="94"/>
        <v/>
      </c>
      <c r="AX216" s="450" t="str">
        <f t="shared" si="94"/>
        <v/>
      </c>
      <c r="AY216" s="450" t="str">
        <f t="shared" si="94"/>
        <v/>
      </c>
      <c r="AZ216" s="450" t="str">
        <f t="shared" si="94"/>
        <v/>
      </c>
      <c r="BA216" s="450" t="str">
        <f t="shared" si="94"/>
        <v/>
      </c>
      <c r="BB216" s="450" t="str">
        <f t="shared" si="94"/>
        <v/>
      </c>
      <c r="BC216" s="450" t="str">
        <f t="shared" si="94"/>
        <v/>
      </c>
      <c r="BD216" s="450" t="str">
        <f t="shared" si="94"/>
        <v/>
      </c>
      <c r="BE216" s="450" t="str">
        <f t="shared" si="94"/>
        <v/>
      </c>
      <c r="BF216" s="450" t="str">
        <f t="shared" si="94"/>
        <v/>
      </c>
      <c r="BG216" s="450"/>
      <c r="BH216" s="450" t="str">
        <f t="shared" si="95"/>
        <v/>
      </c>
      <c r="BI216" s="450" t="str">
        <f t="shared" si="95"/>
        <v/>
      </c>
      <c r="BJ216" s="450" t="str">
        <f t="shared" si="95"/>
        <v/>
      </c>
      <c r="BK216" s="450" t="str">
        <f t="shared" si="95"/>
        <v/>
      </c>
      <c r="BL216" s="450" t="str">
        <f t="shared" si="95"/>
        <v/>
      </c>
      <c r="BM216" s="450" t="str">
        <f t="shared" si="95"/>
        <v/>
      </c>
      <c r="BN216" s="45"/>
    </row>
    <row r="217" spans="1:136" x14ac:dyDescent="0.2">
      <c r="A217" s="8"/>
      <c r="B217" s="8"/>
      <c r="C217" s="8"/>
      <c r="D217" s="8"/>
      <c r="E217" s="8"/>
      <c r="F217" s="8"/>
      <c r="G217" s="8"/>
      <c r="H217" s="8"/>
      <c r="I217" s="8"/>
      <c r="J217" s="8"/>
      <c r="K217" s="8"/>
      <c r="L217" s="528"/>
      <c r="M217" s="528"/>
      <c r="N217" s="448"/>
      <c r="O217" s="448"/>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35"/>
      <c r="AR217" s="32">
        <f>IF(SUM(AS217:$BM$217)=0,SUM(AR189:AR216),0)</f>
        <v>0</v>
      </c>
      <c r="AS217" s="32">
        <f>IF(SUM(AT217:$BM$217)=0,SUM(AS189:AS216),0)</f>
        <v>0</v>
      </c>
      <c r="AT217" s="32">
        <f>IF(SUM(AU217:$BM$217)=0,SUM(AT189:AT216),0)</f>
        <v>0</v>
      </c>
      <c r="AU217" s="32">
        <f>IF(SUM(AV217:$BM$217)=0,SUM(AU189:AU216),0)</f>
        <v>0</v>
      </c>
      <c r="AV217" s="32">
        <f>IF(SUM(AW217:$BM$217)=0,SUM(AV189:AV216),0)</f>
        <v>0</v>
      </c>
      <c r="AW217" s="32">
        <f>IF(SUM(AX217:$BM$217)=0,SUM(AW189:AW216),0)</f>
        <v>0</v>
      </c>
      <c r="AX217" s="32">
        <f>IF(SUM(AY217:$BM$217)=0,SUM(AX189:AX216),0)</f>
        <v>0</v>
      </c>
      <c r="AY217" s="32">
        <f>IF(SUM(AZ217:$BM$217)=0,SUM(AY189:AY216),0)</f>
        <v>0</v>
      </c>
      <c r="AZ217" s="32">
        <f>IF(SUM(BA217:$BM$217)=0,SUM(AZ189:AZ216),0)</f>
        <v>0</v>
      </c>
      <c r="BA217" s="32">
        <f>IF(SUM(BB217:$BM$217)=0,SUM(BA189:BA216),0)</f>
        <v>0</v>
      </c>
      <c r="BB217" s="32">
        <f>IF(SUM(BC217:$BM$217)=0,SUM(BB189:BB216),0)</f>
        <v>0</v>
      </c>
      <c r="BC217" s="32">
        <f>IF(SUM(BD217:$BM$217)=0,SUM(BC189:BC216),0)</f>
        <v>0</v>
      </c>
      <c r="BD217" s="32">
        <f>IF(SUM(BE217:$BM$217)=0,SUM(BD189:BD216),0)</f>
        <v>0</v>
      </c>
      <c r="BE217" s="32">
        <f>IF(SUM(BF217:$BM$217)=0,SUM(BE189:BE216),0)</f>
        <v>0</v>
      </c>
      <c r="BF217" s="32">
        <f>IF(SUM(BH217:$BM$217)=0,SUM(BF189:BF216),0)</f>
        <v>0</v>
      </c>
      <c r="BG217" s="32"/>
      <c r="BH217" s="32">
        <f>IF(SUM(BI217:$BM$217)=0,SUM(BH189:BH216),0)</f>
        <v>2</v>
      </c>
      <c r="BI217" s="32">
        <f>IF(SUM(BJ217:$BM$217)=0,SUM(BI189:BI216),0)</f>
        <v>0</v>
      </c>
      <c r="BJ217" s="32">
        <f>IF(SUM(BK217:$BM$217)=0,SUM(BJ189:BJ216),0)</f>
        <v>0</v>
      </c>
      <c r="BK217" s="32">
        <f>IF(SUM(BL217:$BM$217)=0,SUM(BK189:BK216),0)</f>
        <v>0</v>
      </c>
      <c r="BL217" s="32">
        <f>IF(SUM(BM217:$BM$217)=0,SUM(BL189:BL216),0)</f>
        <v>0</v>
      </c>
      <c r="BM217" s="32">
        <f>SUM(BM189:BM216)</f>
        <v>0</v>
      </c>
      <c r="BN217" s="449"/>
    </row>
    <row r="218" spans="1:136" x14ac:dyDescent="0.2">
      <c r="A218" s="8"/>
      <c r="B218" s="8"/>
      <c r="C218" s="8"/>
      <c r="D218" s="8"/>
      <c r="E218" s="8"/>
      <c r="F218" s="8"/>
      <c r="G218" s="8"/>
      <c r="H218" s="8"/>
      <c r="I218" s="8"/>
      <c r="J218" s="8"/>
      <c r="K218" s="8"/>
      <c r="L218" s="528"/>
      <c r="M218" s="528"/>
      <c r="N218" s="448"/>
      <c r="O218" s="448"/>
      <c r="U218" s="25" t="s">
        <v>1225</v>
      </c>
      <c r="V218" s="45">
        <f>SUM(AR217:BM217)</f>
        <v>2</v>
      </c>
      <c r="W218" s="25"/>
      <c r="X218" s="25"/>
      <c r="Y218" s="25"/>
      <c r="Z218" s="25"/>
      <c r="AA218" s="25"/>
      <c r="AB218" s="25"/>
      <c r="AC218" s="25"/>
      <c r="AD218" s="25"/>
      <c r="AE218" s="25"/>
      <c r="AF218" s="25"/>
      <c r="AG218" s="25"/>
      <c r="AH218" s="25"/>
      <c r="AI218" s="25"/>
      <c r="AJ218" s="25"/>
      <c r="AK218" s="25"/>
      <c r="AL218" s="25"/>
      <c r="AM218" s="25"/>
      <c r="AN218" s="25"/>
      <c r="AO218" s="25"/>
      <c r="AP218" s="25"/>
      <c r="AQ218" s="35"/>
      <c r="AR218" s="32">
        <f t="shared" ref="AR218:BM218" si="96">IF(AR217=0,0,AR186)</f>
        <v>0</v>
      </c>
      <c r="AS218" s="32">
        <f t="shared" si="96"/>
        <v>0</v>
      </c>
      <c r="AT218" s="32">
        <f t="shared" si="96"/>
        <v>0</v>
      </c>
      <c r="AU218" s="32">
        <f t="shared" si="96"/>
        <v>0</v>
      </c>
      <c r="AV218" s="32">
        <f t="shared" si="96"/>
        <v>0</v>
      </c>
      <c r="AW218" s="32">
        <f t="shared" si="96"/>
        <v>0</v>
      </c>
      <c r="AX218" s="32">
        <f t="shared" si="96"/>
        <v>0</v>
      </c>
      <c r="AY218" s="32">
        <f t="shared" si="96"/>
        <v>0</v>
      </c>
      <c r="AZ218" s="32">
        <f t="shared" si="96"/>
        <v>0</v>
      </c>
      <c r="BA218" s="32">
        <f t="shared" si="96"/>
        <v>0</v>
      </c>
      <c r="BB218" s="32">
        <f t="shared" si="96"/>
        <v>0</v>
      </c>
      <c r="BC218" s="32">
        <f t="shared" si="96"/>
        <v>0</v>
      </c>
      <c r="BD218" s="32">
        <f t="shared" si="96"/>
        <v>0</v>
      </c>
      <c r="BE218" s="32">
        <f t="shared" si="96"/>
        <v>0</v>
      </c>
      <c r="BF218" s="32">
        <f t="shared" si="96"/>
        <v>0</v>
      </c>
      <c r="BG218" s="32"/>
      <c r="BH218" s="32">
        <f t="shared" si="96"/>
        <v>16</v>
      </c>
      <c r="BI218" s="32">
        <f t="shared" si="96"/>
        <v>0</v>
      </c>
      <c r="BJ218" s="32">
        <f t="shared" si="96"/>
        <v>0</v>
      </c>
      <c r="BK218" s="32">
        <f t="shared" si="96"/>
        <v>0</v>
      </c>
      <c r="BL218" s="32">
        <f t="shared" si="96"/>
        <v>0</v>
      </c>
      <c r="BM218" s="32">
        <f t="shared" si="96"/>
        <v>0</v>
      </c>
      <c r="BN218" s="449"/>
    </row>
    <row r="219" spans="1:136" x14ac:dyDescent="0.2">
      <c r="A219" s="8"/>
      <c r="B219" s="8"/>
      <c r="C219" s="8"/>
      <c r="D219" s="8"/>
      <c r="E219" s="8"/>
      <c r="F219" s="8"/>
      <c r="G219" s="8"/>
      <c r="H219" s="8"/>
      <c r="I219" s="8"/>
      <c r="J219" s="8"/>
      <c r="K219" s="8"/>
      <c r="L219" s="528"/>
      <c r="M219" s="528"/>
      <c r="N219" s="448"/>
      <c r="O219" s="448"/>
      <c r="U219" s="25" t="s">
        <v>1226</v>
      </c>
      <c r="V219" s="45" t="str">
        <f>IF(V218=0,"",LOOKUP(SUM(AR218:BM218),AR186:BM186,AR185:BM185))</f>
        <v>DP060D40RU</v>
      </c>
      <c r="W219" s="25"/>
      <c r="X219" s="25"/>
      <c r="Y219" s="25"/>
      <c r="Z219" s="25"/>
      <c r="AA219" s="25"/>
      <c r="AB219" s="25"/>
      <c r="AC219" s="25"/>
      <c r="AD219" s="25"/>
      <c r="AE219" s="25"/>
      <c r="AF219" s="25"/>
      <c r="AG219" s="25"/>
      <c r="AH219" s="25"/>
      <c r="AI219" s="25"/>
      <c r="AJ219" s="25"/>
      <c r="AK219" s="25"/>
      <c r="AL219" s="25"/>
      <c r="AM219" s="25"/>
      <c r="AN219" s="25"/>
      <c r="AO219" s="25"/>
      <c r="AP219" s="25"/>
      <c r="AQ219" s="35"/>
      <c r="AR219" s="32"/>
      <c r="AS219" s="32"/>
      <c r="AT219" s="32"/>
      <c r="AU219" s="32"/>
      <c r="AV219" s="32"/>
      <c r="AW219" s="32"/>
      <c r="AX219" s="32"/>
      <c r="AY219" s="32"/>
      <c r="AZ219" s="32"/>
      <c r="BA219" s="32"/>
      <c r="BB219" s="32"/>
      <c r="BC219" s="32"/>
      <c r="BD219" s="32"/>
      <c r="BE219" s="32"/>
      <c r="BF219" s="32"/>
      <c r="BG219" s="32"/>
      <c r="BH219" s="32"/>
      <c r="BI219" s="32"/>
      <c r="BJ219" s="32"/>
      <c r="BK219" s="32"/>
      <c r="BL219" s="32"/>
      <c r="BM219" s="32"/>
      <c r="BN219" s="45"/>
    </row>
    <row r="220" spans="1:136" x14ac:dyDescent="0.2">
      <c r="A220" s="8"/>
      <c r="B220" s="8"/>
      <c r="C220" s="8"/>
      <c r="D220" s="8"/>
      <c r="E220" s="8"/>
      <c r="F220" s="8"/>
      <c r="G220" s="8"/>
      <c r="H220" s="8"/>
      <c r="I220" s="8"/>
      <c r="J220" s="8"/>
      <c r="K220" s="8"/>
      <c r="L220" s="528"/>
      <c r="M220" s="528"/>
      <c r="N220" s="448"/>
      <c r="O220" s="448"/>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35"/>
      <c r="AR220" s="32"/>
      <c r="AS220" s="32"/>
      <c r="AT220" s="32"/>
      <c r="AU220" s="32"/>
      <c r="AV220" s="32"/>
      <c r="AW220" s="32"/>
      <c r="AX220" s="32"/>
      <c r="AY220" s="32"/>
      <c r="AZ220" s="32"/>
      <c r="BA220" s="32"/>
      <c r="BB220" s="32"/>
      <c r="BC220" s="32"/>
      <c r="BD220" s="32"/>
      <c r="BE220" s="32"/>
      <c r="BF220" s="32"/>
      <c r="BG220" s="32"/>
      <c r="BH220" s="32"/>
      <c r="BI220" s="32"/>
      <c r="BJ220" s="32"/>
      <c r="BK220" s="32"/>
      <c r="BL220" s="32"/>
      <c r="BM220" s="32"/>
      <c r="BN220" s="45"/>
    </row>
    <row r="221" spans="1:136" x14ac:dyDescent="0.2">
      <c r="A221" s="8"/>
      <c r="B221" s="8"/>
      <c r="C221" s="8"/>
      <c r="D221" s="8"/>
      <c r="E221" s="8"/>
      <c r="F221" s="8"/>
      <c r="G221" s="8"/>
      <c r="H221" s="8"/>
      <c r="I221" s="8"/>
      <c r="J221" s="8"/>
      <c r="K221" s="8"/>
      <c r="L221" s="528"/>
      <c r="M221" s="528"/>
      <c r="N221" s="448"/>
      <c r="O221" s="448"/>
      <c r="U221" s="45" t="s">
        <v>1227</v>
      </c>
      <c r="AR221" s="32"/>
      <c r="AS221" s="32"/>
      <c r="AT221" s="32"/>
      <c r="AU221" s="32"/>
      <c r="AV221" s="32"/>
      <c r="AW221" s="32"/>
      <c r="AX221" s="32"/>
      <c r="AY221" s="32"/>
      <c r="AZ221" s="32"/>
      <c r="BA221" s="32"/>
      <c r="BB221" s="32"/>
      <c r="BC221" s="32"/>
      <c r="BD221" s="32"/>
      <c r="BE221" s="32"/>
      <c r="BF221" s="32"/>
      <c r="BG221" s="32"/>
      <c r="BH221" s="32"/>
      <c r="BI221" s="32"/>
      <c r="BJ221" s="32" t="str">
        <f>IF(AND(BJ$188=1,AM221&gt;0),AM221,"")</f>
        <v/>
      </c>
      <c r="BK221" s="32" t="str">
        <f>IF(AND(BK$188=1,AN221&gt;0),AN221,"")</f>
        <v/>
      </c>
      <c r="BL221" s="32" t="str">
        <f>IF(AND(BL$188=1,AO221&gt;0),AO221,"")</f>
        <v/>
      </c>
      <c r="BM221" s="32" t="str">
        <f>IF(AND(BM$188=1,AP221&gt;0),AP221,"")</f>
        <v/>
      </c>
      <c r="BN221" s="45"/>
    </row>
    <row r="222" spans="1:136" ht="66" x14ac:dyDescent="0.2">
      <c r="A222" s="8"/>
      <c r="B222" s="8"/>
      <c r="C222" s="8"/>
      <c r="D222" s="8"/>
      <c r="E222" s="8"/>
      <c r="F222" s="8"/>
      <c r="G222" s="8"/>
      <c r="H222" s="8"/>
      <c r="I222" s="8"/>
      <c r="J222" s="8"/>
      <c r="K222" s="8"/>
      <c r="L222" s="528"/>
      <c r="M222" s="528"/>
      <c r="N222" s="448"/>
      <c r="O222" s="448"/>
      <c r="U222" s="508" t="s">
        <v>1214</v>
      </c>
      <c r="V222" s="509" t="s">
        <v>1215</v>
      </c>
      <c r="W222" s="509" t="s">
        <v>245</v>
      </c>
      <c r="X222" s="509" t="s">
        <v>246</v>
      </c>
      <c r="Y222" s="509" t="s">
        <v>247</v>
      </c>
      <c r="Z222" s="509" t="s">
        <v>248</v>
      </c>
      <c r="AA222" s="509" t="s">
        <v>1216</v>
      </c>
      <c r="AB222" s="509" t="s">
        <v>249</v>
      </c>
      <c r="AC222" s="509" t="s">
        <v>250</v>
      </c>
      <c r="AD222" s="509" t="s">
        <v>1217</v>
      </c>
      <c r="AE222" s="509" t="s">
        <v>251</v>
      </c>
      <c r="AF222" s="509" t="s">
        <v>1218</v>
      </c>
      <c r="AG222" s="509" t="s">
        <v>252</v>
      </c>
      <c r="AH222" s="509" t="s">
        <v>253</v>
      </c>
      <c r="AI222" s="509" t="s">
        <v>254</v>
      </c>
      <c r="AJ222" s="509" t="s">
        <v>1219</v>
      </c>
      <c r="AK222" s="509" t="s">
        <v>1220</v>
      </c>
      <c r="AL222" s="509" t="s">
        <v>255</v>
      </c>
      <c r="AM222" s="509" t="s">
        <v>256</v>
      </c>
      <c r="AN222" s="509" t="s">
        <v>257</v>
      </c>
      <c r="AO222" s="509" t="s">
        <v>244</v>
      </c>
      <c r="AP222" s="509" t="s">
        <v>243</v>
      </c>
      <c r="AR222" s="511" t="str">
        <f t="shared" ref="AR222:BB222" si="97">V222</f>
        <v>DP030D22RU</v>
      </c>
      <c r="AS222" s="511" t="str">
        <f t="shared" si="97"/>
        <v>DP035D22R0</v>
      </c>
      <c r="AT222" s="511" t="str">
        <f t="shared" si="97"/>
        <v>DP045D22R0</v>
      </c>
      <c r="AU222" s="511" t="str">
        <f t="shared" si="97"/>
        <v>DP060D22R0</v>
      </c>
      <c r="AV222" s="511" t="str">
        <f t="shared" si="97"/>
        <v>DP085D22R0</v>
      </c>
      <c r="AW222" s="511" t="str">
        <f t="shared" si="97"/>
        <v>DP030D30RU</v>
      </c>
      <c r="AX222" s="511" t="str">
        <f t="shared" si="97"/>
        <v>DP035D30R0</v>
      </c>
      <c r="AY222" s="511" t="str">
        <f t="shared" si="97"/>
        <v>DP045D30R0</v>
      </c>
      <c r="AZ222" s="511" t="str">
        <f t="shared" si="97"/>
        <v>DP045D30RU</v>
      </c>
      <c r="BA222" s="511" t="str">
        <f t="shared" si="97"/>
        <v>DP060D30R0</v>
      </c>
      <c r="BB222" s="511" t="str">
        <f t="shared" si="97"/>
        <v>DP060D30RU</v>
      </c>
      <c r="BC222" s="511" t="str">
        <f>AG222</f>
        <v>DP085D30R0</v>
      </c>
      <c r="BD222" s="511" t="str">
        <f>AH222</f>
        <v>DP105D30R0</v>
      </c>
      <c r="BE222" s="511" t="str">
        <f>AI222</f>
        <v>DP125D30R0</v>
      </c>
      <c r="BF222" s="511" t="str">
        <f>AJ222</f>
        <v>DP165D30R0</v>
      </c>
      <c r="BG222" s="511"/>
      <c r="BH222" s="511" t="str">
        <f t="shared" ref="BH222:BM222" si="98">AK222</f>
        <v>DP060D40RU</v>
      </c>
      <c r="BI222" s="511" t="str">
        <f t="shared" si="98"/>
        <v>DP085D40R0</v>
      </c>
      <c r="BJ222" s="511" t="str">
        <f t="shared" si="98"/>
        <v>DP105D40R0</v>
      </c>
      <c r="BK222" s="511" t="str">
        <f t="shared" si="98"/>
        <v>DP125D40R0</v>
      </c>
      <c r="BL222" s="511" t="str">
        <f t="shared" si="98"/>
        <v>DP165D40R0</v>
      </c>
      <c r="BM222" s="511" t="str">
        <f t="shared" si="98"/>
        <v>DP205D40R0</v>
      </c>
      <c r="BN222" s="45"/>
      <c r="CJ222" s="445" t="str">
        <f>MID(SELECTION!B7,1,5)</f>
        <v>UR080</v>
      </c>
      <c r="CK222" s="445">
        <f>VLOOKUP(CJ222,BP229:CL257,23,0)</f>
        <v>1</v>
      </c>
    </row>
    <row r="223" spans="1:136" x14ac:dyDescent="0.2">
      <c r="A223" s="8"/>
      <c r="B223" s="8"/>
      <c r="C223" s="8"/>
      <c r="D223" s="8"/>
      <c r="E223" s="8"/>
      <c r="F223" s="8"/>
      <c r="G223" s="8"/>
      <c r="H223" s="8"/>
      <c r="I223" s="8"/>
      <c r="J223" s="8"/>
      <c r="K223" s="8"/>
      <c r="L223" s="528"/>
      <c r="M223" s="528"/>
      <c r="N223" s="448"/>
      <c r="O223" s="448"/>
      <c r="U223" s="501" t="s">
        <v>1221</v>
      </c>
      <c r="V223" s="504">
        <v>22</v>
      </c>
      <c r="W223" s="504">
        <v>22</v>
      </c>
      <c r="X223" s="504">
        <v>22</v>
      </c>
      <c r="Y223" s="504">
        <v>22</v>
      </c>
      <c r="Z223" s="504">
        <v>22</v>
      </c>
      <c r="AA223" s="504">
        <v>30</v>
      </c>
      <c r="AB223" s="504">
        <v>30</v>
      </c>
      <c r="AC223" s="504">
        <v>30</v>
      </c>
      <c r="AD223" s="504">
        <v>30</v>
      </c>
      <c r="AE223" s="504">
        <v>30</v>
      </c>
      <c r="AF223" s="504">
        <v>30</v>
      </c>
      <c r="AG223" s="504">
        <v>30</v>
      </c>
      <c r="AH223" s="504">
        <v>30</v>
      </c>
      <c r="AI223" s="504">
        <v>30</v>
      </c>
      <c r="AJ223" s="504">
        <v>30</v>
      </c>
      <c r="AK223" s="504">
        <v>40</v>
      </c>
      <c r="AL223" s="504">
        <v>40</v>
      </c>
      <c r="AM223" s="504">
        <v>40</v>
      </c>
      <c r="AN223" s="504">
        <v>40</v>
      </c>
      <c r="AO223" s="504">
        <v>40</v>
      </c>
      <c r="AP223" s="504">
        <v>40</v>
      </c>
      <c r="AR223" s="32">
        <v>1</v>
      </c>
      <c r="AS223" s="32">
        <f>AR223+1</f>
        <v>2</v>
      </c>
      <c r="AT223" s="32">
        <f t="shared" ref="AT223:BM223" si="99">AS223+1</f>
        <v>3</v>
      </c>
      <c r="AU223" s="32">
        <f t="shared" si="99"/>
        <v>4</v>
      </c>
      <c r="AV223" s="32">
        <f t="shared" si="99"/>
        <v>5</v>
      </c>
      <c r="AW223" s="32">
        <f t="shared" si="99"/>
        <v>6</v>
      </c>
      <c r="AX223" s="32">
        <f t="shared" si="99"/>
        <v>7</v>
      </c>
      <c r="AY223" s="32">
        <f t="shared" si="99"/>
        <v>8</v>
      </c>
      <c r="AZ223" s="32">
        <f t="shared" si="99"/>
        <v>9</v>
      </c>
      <c r="BA223" s="32">
        <f t="shared" si="99"/>
        <v>10</v>
      </c>
      <c r="BB223" s="32">
        <f t="shared" si="99"/>
        <v>11</v>
      </c>
      <c r="BC223" s="32">
        <f t="shared" si="99"/>
        <v>12</v>
      </c>
      <c r="BD223" s="32">
        <f t="shared" si="99"/>
        <v>13</v>
      </c>
      <c r="BE223" s="32">
        <f t="shared" si="99"/>
        <v>14</v>
      </c>
      <c r="BF223" s="32">
        <f t="shared" si="99"/>
        <v>15</v>
      </c>
      <c r="BG223" s="32"/>
      <c r="BH223" s="32">
        <f>BF223+1</f>
        <v>16</v>
      </c>
      <c r="BI223" s="32">
        <f t="shared" si="99"/>
        <v>17</v>
      </c>
      <c r="BJ223" s="32">
        <f t="shared" si="99"/>
        <v>18</v>
      </c>
      <c r="BK223" s="32">
        <f t="shared" si="99"/>
        <v>19</v>
      </c>
      <c r="BL223" s="32">
        <f t="shared" si="99"/>
        <v>20</v>
      </c>
      <c r="BM223" s="32">
        <f t="shared" si="99"/>
        <v>21</v>
      </c>
      <c r="BN223" s="45"/>
      <c r="EF223" s="449">
        <f>VLOOKUP(CJ222,DJ225:EF257,23,0)</f>
        <v>4</v>
      </c>
    </row>
    <row r="224" spans="1:136" x14ac:dyDescent="0.2">
      <c r="A224" s="8"/>
      <c r="B224" s="8"/>
      <c r="C224" s="8"/>
      <c r="D224" s="8"/>
      <c r="E224" s="8"/>
      <c r="F224" s="8"/>
      <c r="G224" s="8"/>
      <c r="H224" s="8"/>
      <c r="I224" s="8"/>
      <c r="J224" s="8"/>
      <c r="K224" s="8"/>
      <c r="L224" s="528"/>
      <c r="M224" s="528"/>
      <c r="N224" s="448"/>
      <c r="O224" s="448"/>
      <c r="U224" s="501" t="s">
        <v>1222</v>
      </c>
      <c r="V224" s="738">
        <v>35</v>
      </c>
      <c r="W224" s="738"/>
      <c r="X224" s="738"/>
      <c r="Y224" s="738"/>
      <c r="Z224" s="738"/>
      <c r="AA224" s="512">
        <v>45</v>
      </c>
      <c r="AB224" s="513"/>
      <c r="AC224" s="513"/>
      <c r="AD224" s="513"/>
      <c r="AE224" s="513"/>
      <c r="AF224" s="513"/>
      <c r="AG224" s="513"/>
      <c r="AH224" s="513"/>
      <c r="AI224" s="513"/>
      <c r="AJ224" s="514"/>
      <c r="AK224" s="738">
        <v>60</v>
      </c>
      <c r="AL224" s="738"/>
      <c r="AM224" s="738"/>
      <c r="AN224" s="738"/>
      <c r="AO224" s="738"/>
      <c r="AP224" s="738"/>
      <c r="AR224" s="32">
        <f t="shared" ref="AR224:BB224" si="100">V223</f>
        <v>22</v>
      </c>
      <c r="AS224" s="32">
        <f t="shared" si="100"/>
        <v>22</v>
      </c>
      <c r="AT224" s="32">
        <f t="shared" si="100"/>
        <v>22</v>
      </c>
      <c r="AU224" s="32">
        <f t="shared" si="100"/>
        <v>22</v>
      </c>
      <c r="AV224" s="32">
        <f t="shared" si="100"/>
        <v>22</v>
      </c>
      <c r="AW224" s="32">
        <f t="shared" si="100"/>
        <v>30</v>
      </c>
      <c r="AX224" s="32">
        <f t="shared" si="100"/>
        <v>30</v>
      </c>
      <c r="AY224" s="32">
        <f t="shared" si="100"/>
        <v>30</v>
      </c>
      <c r="AZ224" s="32">
        <f t="shared" si="100"/>
        <v>30</v>
      </c>
      <c r="BA224" s="32">
        <f t="shared" si="100"/>
        <v>30</v>
      </c>
      <c r="BB224" s="32">
        <f t="shared" si="100"/>
        <v>30</v>
      </c>
      <c r="BC224" s="32">
        <f>AG223</f>
        <v>30</v>
      </c>
      <c r="BD224" s="32">
        <f>AH223</f>
        <v>30</v>
      </c>
      <c r="BE224" s="32">
        <f>AI223</f>
        <v>30</v>
      </c>
      <c r="BF224" s="32">
        <f>AJ223</f>
        <v>30</v>
      </c>
      <c r="BG224" s="32"/>
      <c r="BH224" s="32">
        <f t="shared" ref="BH224:BM224" si="101">AK223</f>
        <v>40</v>
      </c>
      <c r="BI224" s="32">
        <f t="shared" si="101"/>
        <v>40</v>
      </c>
      <c r="BJ224" s="32">
        <f t="shared" si="101"/>
        <v>40</v>
      </c>
      <c r="BK224" s="32">
        <f t="shared" si="101"/>
        <v>40</v>
      </c>
      <c r="BL224" s="32">
        <f t="shared" si="101"/>
        <v>40</v>
      </c>
      <c r="BM224" s="32">
        <f t="shared" si="101"/>
        <v>40</v>
      </c>
      <c r="BN224" s="45"/>
    </row>
    <row r="225" spans="1:136" ht="66" x14ac:dyDescent="0.2">
      <c r="A225" s="8"/>
      <c r="B225" s="8"/>
      <c r="C225" s="8"/>
      <c r="D225" s="8"/>
      <c r="E225" s="8"/>
      <c r="F225" s="8"/>
      <c r="G225" s="8"/>
      <c r="H225" s="8"/>
      <c r="I225" s="8"/>
      <c r="J225" s="8"/>
      <c r="K225" s="8"/>
      <c r="L225" s="528"/>
      <c r="M225" s="528"/>
      <c r="N225" s="448"/>
      <c r="O225" s="448"/>
      <c r="U225" s="501" t="s">
        <v>1223</v>
      </c>
      <c r="V225" s="504">
        <v>300</v>
      </c>
      <c r="W225" s="504">
        <v>350</v>
      </c>
      <c r="X225" s="504">
        <v>450</v>
      </c>
      <c r="Y225" s="504">
        <v>600</v>
      </c>
      <c r="Z225" s="504">
        <v>850</v>
      </c>
      <c r="AA225" s="504">
        <v>300</v>
      </c>
      <c r="AB225" s="504">
        <v>350</v>
      </c>
      <c r="AC225" s="504">
        <v>450</v>
      </c>
      <c r="AD225" s="504">
        <v>450</v>
      </c>
      <c r="AE225" s="504">
        <v>600</v>
      </c>
      <c r="AF225" s="504">
        <v>600</v>
      </c>
      <c r="AG225" s="504">
        <v>850</v>
      </c>
      <c r="AH225" s="504">
        <v>1050</v>
      </c>
      <c r="AI225" s="504">
        <v>1250</v>
      </c>
      <c r="AJ225" s="504">
        <v>1650</v>
      </c>
      <c r="AK225" s="504">
        <v>600</v>
      </c>
      <c r="AL225" s="504">
        <v>850</v>
      </c>
      <c r="AM225" s="504">
        <v>1050</v>
      </c>
      <c r="AN225" s="504">
        <v>1250</v>
      </c>
      <c r="AO225" s="504">
        <v>1650</v>
      </c>
      <c r="AP225" s="504">
        <v>2050</v>
      </c>
      <c r="AR225" s="32">
        <f>AR188</f>
        <v>1</v>
      </c>
      <c r="AS225" s="32">
        <f t="shared" ref="AS225:BM225" si="102">AS188</f>
        <v>1</v>
      </c>
      <c r="AT225" s="32">
        <f t="shared" si="102"/>
        <v>1</v>
      </c>
      <c r="AU225" s="32">
        <f t="shared" si="102"/>
        <v>1</v>
      </c>
      <c r="AV225" s="32">
        <f t="shared" si="102"/>
        <v>1</v>
      </c>
      <c r="AW225" s="32">
        <f t="shared" si="102"/>
        <v>1</v>
      </c>
      <c r="AX225" s="32">
        <f t="shared" si="102"/>
        <v>1</v>
      </c>
      <c r="AY225" s="32">
        <f t="shared" si="102"/>
        <v>1</v>
      </c>
      <c r="AZ225" s="32">
        <f t="shared" si="102"/>
        <v>1</v>
      </c>
      <c r="BA225" s="32">
        <f t="shared" si="102"/>
        <v>1</v>
      </c>
      <c r="BB225" s="32">
        <f t="shared" si="102"/>
        <v>1</v>
      </c>
      <c r="BC225" s="32">
        <f t="shared" si="102"/>
        <v>1</v>
      </c>
      <c r="BD225" s="32">
        <f t="shared" si="102"/>
        <v>1</v>
      </c>
      <c r="BE225" s="32">
        <f t="shared" si="102"/>
        <v>0</v>
      </c>
      <c r="BF225" s="32">
        <f t="shared" si="102"/>
        <v>0</v>
      </c>
      <c r="BG225" s="32"/>
      <c r="BH225" s="32">
        <f t="shared" si="102"/>
        <v>1</v>
      </c>
      <c r="BI225" s="32">
        <f t="shared" si="102"/>
        <v>1</v>
      </c>
      <c r="BJ225" s="32">
        <f t="shared" si="102"/>
        <v>1</v>
      </c>
      <c r="BK225" s="32">
        <f t="shared" si="102"/>
        <v>0</v>
      </c>
      <c r="BL225" s="32">
        <f t="shared" si="102"/>
        <v>0</v>
      </c>
      <c r="BM225" s="32">
        <f t="shared" si="102"/>
        <v>0</v>
      </c>
      <c r="BN225" s="45"/>
      <c r="BP225" s="516" t="s">
        <v>1214</v>
      </c>
      <c r="BQ225" s="517" t="s">
        <v>1216</v>
      </c>
      <c r="BR225" s="517" t="s">
        <v>249</v>
      </c>
      <c r="BS225" s="517" t="s">
        <v>250</v>
      </c>
      <c r="BT225" s="517" t="s">
        <v>1217</v>
      </c>
      <c r="BU225" s="518" t="s">
        <v>251</v>
      </c>
      <c r="BV225" s="517" t="s">
        <v>1218</v>
      </c>
      <c r="BW225" s="518" t="s">
        <v>252</v>
      </c>
      <c r="BX225" s="518" t="s">
        <v>253</v>
      </c>
      <c r="BY225" s="518" t="s">
        <v>254</v>
      </c>
      <c r="BZ225" s="517" t="s">
        <v>1219</v>
      </c>
      <c r="CA225" s="517" t="s">
        <v>1220</v>
      </c>
      <c r="CB225" s="518" t="s">
        <v>255</v>
      </c>
      <c r="CC225" s="518" t="s">
        <v>256</v>
      </c>
      <c r="CD225" s="518" t="s">
        <v>257</v>
      </c>
      <c r="CE225" s="518" t="s">
        <v>244</v>
      </c>
      <c r="CF225" s="518" t="s">
        <v>243</v>
      </c>
      <c r="CG225" s="517" t="s">
        <v>1215</v>
      </c>
      <c r="CH225" s="517" t="s">
        <v>245</v>
      </c>
      <c r="CI225" s="517" t="s">
        <v>246</v>
      </c>
      <c r="CJ225" s="517" t="s">
        <v>247</v>
      </c>
      <c r="CK225" s="517" t="s">
        <v>248</v>
      </c>
      <c r="CM225" s="516" t="s">
        <v>1214</v>
      </c>
      <c r="CN225" s="517" t="s">
        <v>1216</v>
      </c>
      <c r="CO225" s="517" t="s">
        <v>249</v>
      </c>
      <c r="CP225" s="517" t="s">
        <v>250</v>
      </c>
      <c r="CQ225" s="517" t="s">
        <v>1217</v>
      </c>
      <c r="CR225" s="518" t="s">
        <v>251</v>
      </c>
      <c r="CS225" s="517" t="s">
        <v>1218</v>
      </c>
      <c r="CT225" s="518" t="s">
        <v>252</v>
      </c>
      <c r="CU225" s="518" t="s">
        <v>253</v>
      </c>
      <c r="CV225" s="518" t="s">
        <v>254</v>
      </c>
      <c r="CW225" s="517" t="s">
        <v>1219</v>
      </c>
      <c r="CX225" s="517" t="s">
        <v>1220</v>
      </c>
      <c r="CY225" s="518" t="s">
        <v>255</v>
      </c>
      <c r="CZ225" s="518" t="s">
        <v>256</v>
      </c>
      <c r="DA225" s="518" t="s">
        <v>257</v>
      </c>
      <c r="DB225" s="518" t="s">
        <v>244</v>
      </c>
      <c r="DC225" s="518" t="s">
        <v>243</v>
      </c>
      <c r="DD225" s="517" t="s">
        <v>1215</v>
      </c>
      <c r="DE225" s="517" t="s">
        <v>245</v>
      </c>
      <c r="DF225" s="517" t="s">
        <v>246</v>
      </c>
      <c r="DG225" s="517" t="s">
        <v>247</v>
      </c>
      <c r="DH225" s="517" t="s">
        <v>248</v>
      </c>
      <c r="DJ225" s="516" t="s">
        <v>1214</v>
      </c>
      <c r="DK225" s="517" t="s">
        <v>1216</v>
      </c>
      <c r="DL225" s="517" t="s">
        <v>249</v>
      </c>
      <c r="DM225" s="517" t="s">
        <v>250</v>
      </c>
      <c r="DN225" s="517" t="s">
        <v>1217</v>
      </c>
      <c r="DO225" s="518" t="s">
        <v>251</v>
      </c>
      <c r="DP225" s="517" t="s">
        <v>1218</v>
      </c>
      <c r="DQ225" s="518" t="s">
        <v>252</v>
      </c>
      <c r="DR225" s="518" t="s">
        <v>253</v>
      </c>
      <c r="DS225" s="518" t="s">
        <v>254</v>
      </c>
      <c r="DT225" s="517" t="s">
        <v>1219</v>
      </c>
      <c r="DU225" s="517" t="s">
        <v>1220</v>
      </c>
      <c r="DV225" s="518" t="s">
        <v>255</v>
      </c>
      <c r="DW225" s="518" t="s">
        <v>256</v>
      </c>
      <c r="DX225" s="518" t="s">
        <v>257</v>
      </c>
      <c r="DY225" s="518" t="s">
        <v>244</v>
      </c>
      <c r="DZ225" s="518" t="s">
        <v>243</v>
      </c>
      <c r="EA225" s="517" t="s">
        <v>1215</v>
      </c>
      <c r="EB225" s="517" t="s">
        <v>245</v>
      </c>
      <c r="EC225" s="517" t="s">
        <v>246</v>
      </c>
      <c r="ED225" s="517" t="s">
        <v>247</v>
      </c>
      <c r="EE225" s="517" t="s">
        <v>248</v>
      </c>
    </row>
    <row r="226" spans="1:136" x14ac:dyDescent="0.2">
      <c r="A226" s="8"/>
      <c r="B226" s="8"/>
      <c r="C226" s="8"/>
      <c r="D226" s="8"/>
      <c r="E226" s="8"/>
      <c r="F226" s="8"/>
      <c r="G226" s="8"/>
      <c r="H226" s="8"/>
      <c r="I226" s="8"/>
      <c r="J226" s="8"/>
      <c r="K226" s="8"/>
      <c r="L226" s="528"/>
      <c r="M226" s="528"/>
      <c r="N226" s="448"/>
      <c r="O226" s="448"/>
      <c r="U226" s="501" t="s">
        <v>936</v>
      </c>
      <c r="V226" s="501"/>
      <c r="W226" s="501"/>
      <c r="X226" s="501"/>
      <c r="Y226" s="501"/>
      <c r="Z226" s="501"/>
      <c r="AA226" s="501"/>
      <c r="AB226" s="501"/>
      <c r="AC226" s="501"/>
      <c r="AD226" s="501"/>
      <c r="AE226" s="501"/>
      <c r="AF226" s="501"/>
      <c r="AG226" s="501"/>
      <c r="AH226" s="501"/>
      <c r="AI226" s="501"/>
      <c r="AJ226" s="501"/>
      <c r="AK226" s="501"/>
      <c r="AL226" s="501"/>
      <c r="AM226" s="501"/>
      <c r="AN226" s="501"/>
      <c r="AO226" s="501"/>
      <c r="AP226" s="501"/>
      <c r="AQ226" s="35">
        <f t="shared" ref="AQ226:AQ250" si="103">IF(U226=$V$183,1,0)</f>
        <v>0</v>
      </c>
      <c r="AR226" s="450" t="str">
        <f t="shared" ref="AR226:AR250" si="104">IF($AQ226=0,"",IF(AND(AR$225=1,V226&gt;0),V226,""))</f>
        <v/>
      </c>
      <c r="AS226" s="450" t="str">
        <f t="shared" ref="AS226:AS250" si="105">IF($AQ226=0,"",IF(AND(AS$225=1,W226&gt;0),W226,""))</f>
        <v/>
      </c>
      <c r="AT226" s="450" t="str">
        <f t="shared" ref="AT226:AT250" si="106">IF($AQ226=0,"",IF(AND(AT$225=1,X226&gt;0),X226,""))</f>
        <v/>
      </c>
      <c r="AU226" s="450" t="str">
        <f t="shared" ref="AU226:AU250" si="107">IF($AQ226=0,"",IF(AND(AU$225=1,Y226&gt;0),Y226,""))</f>
        <v/>
      </c>
      <c r="AV226" s="450" t="str">
        <f t="shared" ref="AV226:AV250" si="108">IF($AQ226=0,"",IF(AND(AV$225=1,Z226&gt;0),Z226,""))</f>
        <v/>
      </c>
      <c r="AW226" s="450" t="str">
        <f t="shared" ref="AW226:AW250" si="109">IF($AQ226=0,"",IF(AND(AW$225=1,AA226&gt;0),AA226,""))</f>
        <v/>
      </c>
      <c r="AX226" s="450" t="str">
        <f t="shared" ref="AX226:AX250" si="110">IF($AQ226=0,"",IF(AND(AX$225=1,AB226&gt;0),AB226,""))</f>
        <v/>
      </c>
      <c r="AY226" s="450" t="str">
        <f t="shared" ref="AY226:AY250" si="111">IF($AQ226=0,"",IF(AND(AY$225=1,AC226&gt;0),AC226,""))</f>
        <v/>
      </c>
      <c r="AZ226" s="450" t="str">
        <f t="shared" ref="AZ226:AZ250" si="112">IF($AQ226=0,"",IF(AND(AZ$225=1,AD226&gt;0),AD226,""))</f>
        <v/>
      </c>
      <c r="BA226" s="450" t="str">
        <f t="shared" ref="BA226:BA250" si="113">IF($AQ226=0,"",IF(AND(BA$225=1,AE226&gt;0),AE226,""))</f>
        <v/>
      </c>
      <c r="BB226" s="450" t="str">
        <f t="shared" ref="BB226:BB250" si="114">IF($AQ226=0,"",IF(AND(BB$225=1,AF226&gt;0),AF226,""))</f>
        <v/>
      </c>
      <c r="BC226" s="450" t="str">
        <f t="shared" ref="BC226:BF239" si="115">IF($AQ226=0,"",IF(AND(BC$225=1,AG226&gt;0),AG226,""))</f>
        <v/>
      </c>
      <c r="BD226" s="450" t="str">
        <f t="shared" si="115"/>
        <v/>
      </c>
      <c r="BE226" s="450" t="str">
        <f t="shared" si="115"/>
        <v/>
      </c>
      <c r="BF226" s="450" t="str">
        <f t="shared" si="115"/>
        <v/>
      </c>
      <c r="BG226" s="450"/>
      <c r="BH226" s="450" t="str">
        <f t="shared" ref="BH226:BH238" si="116">IF($AQ226=0,"",IF(AND(BH$225=1,AK226&gt;0),AK226,""))</f>
        <v/>
      </c>
      <c r="BI226" s="450" t="str">
        <f t="shared" ref="BI226:BI238" si="117">IF($AQ226=0,"",IF(AND(BI$225=1,AL226&gt;0),AL226,""))</f>
        <v/>
      </c>
      <c r="BJ226" s="450" t="str">
        <f t="shared" ref="BJ226:BJ238" si="118">IF($AQ226=0,"",IF(AND(BJ$225=1,AM226&gt;0),AM226,""))</f>
        <v/>
      </c>
      <c r="BK226" s="450" t="str">
        <f t="shared" ref="BK226:BK238" si="119">IF($AQ226=0,"",IF(AND(BK$225=1,AN226&gt;0),AN226,""))</f>
        <v/>
      </c>
      <c r="BL226" s="450" t="str">
        <f t="shared" ref="BL226:BL238" si="120">IF($AQ226=0,"",IF(AND(BL$225=1,AO226&gt;0),AO226,""))</f>
        <v/>
      </c>
      <c r="BM226" s="450" t="str">
        <f t="shared" ref="BM226:BM238" si="121">IF($AQ226=0,"",IF(AND(BM$225=1,AP226&gt;0),AP226,""))</f>
        <v/>
      </c>
      <c r="BN226" s="45"/>
      <c r="BP226" s="519" t="s">
        <v>1221</v>
      </c>
      <c r="BQ226" s="520">
        <v>30</v>
      </c>
      <c r="BR226" s="520">
        <v>30</v>
      </c>
      <c r="BS226" s="520">
        <v>30</v>
      </c>
      <c r="BT226" s="520">
        <v>30</v>
      </c>
      <c r="BU226" s="520">
        <v>30</v>
      </c>
      <c r="BV226" s="520">
        <v>30</v>
      </c>
      <c r="BW226" s="520">
        <v>30</v>
      </c>
      <c r="BX226" s="520">
        <v>30</v>
      </c>
      <c r="BY226" s="520">
        <v>30</v>
      </c>
      <c r="BZ226" s="520">
        <v>30</v>
      </c>
      <c r="CA226" s="520">
        <v>40</v>
      </c>
      <c r="CB226" s="520">
        <v>40</v>
      </c>
      <c r="CC226" s="520">
        <v>40</v>
      </c>
      <c r="CD226" s="520">
        <v>40</v>
      </c>
      <c r="CE226" s="520">
        <v>40</v>
      </c>
      <c r="CF226" s="520">
        <v>40</v>
      </c>
      <c r="CG226" s="520">
        <v>22</v>
      </c>
      <c r="CH226" s="520">
        <v>22</v>
      </c>
      <c r="CI226" s="520">
        <v>22</v>
      </c>
      <c r="CJ226" s="520">
        <v>22</v>
      </c>
      <c r="CK226" s="520">
        <v>22</v>
      </c>
      <c r="CM226" s="519" t="s">
        <v>1221</v>
      </c>
      <c r="CN226" s="520">
        <v>30</v>
      </c>
      <c r="CO226" s="520">
        <v>30</v>
      </c>
      <c r="CP226" s="520">
        <v>30</v>
      </c>
      <c r="CQ226" s="520">
        <v>30</v>
      </c>
      <c r="CR226" s="520">
        <v>30</v>
      </c>
      <c r="CS226" s="520">
        <v>30</v>
      </c>
      <c r="CT226" s="520">
        <v>30</v>
      </c>
      <c r="CU226" s="520">
        <v>30</v>
      </c>
      <c r="CV226" s="520">
        <v>30</v>
      </c>
      <c r="CW226" s="520">
        <v>30</v>
      </c>
      <c r="CX226" s="520">
        <v>40</v>
      </c>
      <c r="CY226" s="520">
        <v>40</v>
      </c>
      <c r="CZ226" s="520">
        <v>40</v>
      </c>
      <c r="DA226" s="520">
        <v>40</v>
      </c>
      <c r="DB226" s="520">
        <v>40</v>
      </c>
      <c r="DC226" s="520">
        <v>40</v>
      </c>
      <c r="DD226" s="520">
        <v>22</v>
      </c>
      <c r="DE226" s="520">
        <v>22</v>
      </c>
      <c r="DF226" s="520">
        <v>22</v>
      </c>
      <c r="DG226" s="520">
        <v>22</v>
      </c>
      <c r="DH226" s="520">
        <v>22</v>
      </c>
      <c r="DJ226" s="519" t="s">
        <v>1221</v>
      </c>
      <c r="DK226" s="520">
        <v>30</v>
      </c>
      <c r="DL226" s="520">
        <v>30</v>
      </c>
      <c r="DM226" s="520">
        <v>30</v>
      </c>
      <c r="DN226" s="520">
        <v>30</v>
      </c>
      <c r="DO226" s="520">
        <v>30</v>
      </c>
      <c r="DP226" s="520">
        <v>30</v>
      </c>
      <c r="DQ226" s="520">
        <v>30</v>
      </c>
      <c r="DR226" s="520">
        <v>30</v>
      </c>
      <c r="DS226" s="520">
        <v>30</v>
      </c>
      <c r="DT226" s="520">
        <v>30</v>
      </c>
      <c r="DU226" s="520">
        <v>40</v>
      </c>
      <c r="DV226" s="520">
        <v>40</v>
      </c>
      <c r="DW226" s="520">
        <v>40</v>
      </c>
      <c r="DX226" s="520">
        <v>40</v>
      </c>
      <c r="DY226" s="520">
        <v>40</v>
      </c>
      <c r="DZ226" s="520">
        <v>40</v>
      </c>
      <c r="EA226" s="520">
        <v>22</v>
      </c>
      <c r="EB226" s="520">
        <v>22</v>
      </c>
      <c r="EC226" s="520">
        <v>22</v>
      </c>
      <c r="ED226" s="520">
        <v>22</v>
      </c>
      <c r="EE226" s="520">
        <v>22</v>
      </c>
    </row>
    <row r="227" spans="1:136" x14ac:dyDescent="0.2">
      <c r="A227" s="8"/>
      <c r="B227" s="8"/>
      <c r="C227" s="8"/>
      <c r="D227" s="8"/>
      <c r="E227" s="8"/>
      <c r="F227" s="8"/>
      <c r="G227" s="8"/>
      <c r="H227" s="8"/>
      <c r="I227" s="8"/>
      <c r="J227" s="8"/>
      <c r="K227" s="8"/>
      <c r="L227" s="528"/>
      <c r="M227" s="528"/>
      <c r="N227" s="448"/>
      <c r="O227" s="448"/>
      <c r="U227" s="501" t="s">
        <v>937</v>
      </c>
      <c r="V227" s="501"/>
      <c r="W227" s="501"/>
      <c r="X227" s="501"/>
      <c r="Y227" s="501"/>
      <c r="Z227" s="501"/>
      <c r="AA227" s="501"/>
      <c r="AB227" s="501"/>
      <c r="AC227" s="501"/>
      <c r="AD227" s="501"/>
      <c r="AE227" s="501"/>
      <c r="AF227" s="501"/>
      <c r="AG227" s="501"/>
      <c r="AH227" s="501"/>
      <c r="AI227" s="501"/>
      <c r="AJ227" s="501"/>
      <c r="AK227" s="501"/>
      <c r="AL227" s="501"/>
      <c r="AM227" s="501"/>
      <c r="AN227" s="501"/>
      <c r="AO227" s="501"/>
      <c r="AP227" s="501"/>
      <c r="AQ227" s="35">
        <f t="shared" si="103"/>
        <v>0</v>
      </c>
      <c r="AR227" s="450" t="str">
        <f t="shared" si="104"/>
        <v/>
      </c>
      <c r="AS227" s="450" t="str">
        <f t="shared" si="105"/>
        <v/>
      </c>
      <c r="AT227" s="450" t="str">
        <f t="shared" si="106"/>
        <v/>
      </c>
      <c r="AU227" s="450" t="str">
        <f t="shared" si="107"/>
        <v/>
      </c>
      <c r="AV227" s="450" t="str">
        <f t="shared" si="108"/>
        <v/>
      </c>
      <c r="AW227" s="450" t="str">
        <f t="shared" si="109"/>
        <v/>
      </c>
      <c r="AX227" s="450" t="str">
        <f t="shared" si="110"/>
        <v/>
      </c>
      <c r="AY227" s="450" t="str">
        <f t="shared" si="111"/>
        <v/>
      </c>
      <c r="AZ227" s="450" t="str">
        <f t="shared" si="112"/>
        <v/>
      </c>
      <c r="BA227" s="450" t="str">
        <f t="shared" si="113"/>
        <v/>
      </c>
      <c r="BB227" s="450" t="str">
        <f t="shared" si="114"/>
        <v/>
      </c>
      <c r="BC227" s="450" t="str">
        <f t="shared" si="115"/>
        <v/>
      </c>
      <c r="BD227" s="450" t="str">
        <f t="shared" si="115"/>
        <v/>
      </c>
      <c r="BE227" s="450" t="str">
        <f t="shared" si="115"/>
        <v/>
      </c>
      <c r="BF227" s="450" t="str">
        <f t="shared" si="115"/>
        <v/>
      </c>
      <c r="BG227" s="450"/>
      <c r="BH227" s="450" t="str">
        <f t="shared" si="116"/>
        <v/>
      </c>
      <c r="BI227" s="450" t="str">
        <f t="shared" si="117"/>
        <v/>
      </c>
      <c r="BJ227" s="450" t="str">
        <f t="shared" si="118"/>
        <v/>
      </c>
      <c r="BK227" s="450" t="str">
        <f t="shared" si="119"/>
        <v/>
      </c>
      <c r="BL227" s="450" t="str">
        <f t="shared" si="120"/>
        <v/>
      </c>
      <c r="BM227" s="450" t="str">
        <f t="shared" si="121"/>
        <v/>
      </c>
      <c r="BN227" s="45"/>
      <c r="BP227" s="519" t="s">
        <v>1222</v>
      </c>
      <c r="BQ227" s="521">
        <v>45</v>
      </c>
      <c r="BR227" s="522"/>
      <c r="BS227" s="522"/>
      <c r="BT227" s="522"/>
      <c r="BU227" s="522"/>
      <c r="BV227" s="522"/>
      <c r="BW227" s="522"/>
      <c r="BX227" s="522"/>
      <c r="BY227" s="522"/>
      <c r="BZ227" s="523"/>
      <c r="CA227" s="521">
        <v>60</v>
      </c>
      <c r="CB227" s="522"/>
      <c r="CC227" s="522"/>
      <c r="CD227" s="522"/>
      <c r="CE227" s="522"/>
      <c r="CF227" s="523"/>
      <c r="CG227" s="729">
        <v>35</v>
      </c>
      <c r="CH227" s="729"/>
      <c r="CI227" s="729"/>
      <c r="CJ227" s="729"/>
      <c r="CK227" s="729"/>
      <c r="CM227" s="519" t="s">
        <v>1222</v>
      </c>
      <c r="CN227" s="521">
        <v>45</v>
      </c>
      <c r="CO227" s="522"/>
      <c r="CP227" s="522"/>
      <c r="CQ227" s="522"/>
      <c r="CR227" s="522"/>
      <c r="CS227" s="522"/>
      <c r="CT227" s="522"/>
      <c r="CU227" s="522"/>
      <c r="CV227" s="522"/>
      <c r="CW227" s="523"/>
      <c r="CX227" s="521">
        <v>60</v>
      </c>
      <c r="CY227" s="522"/>
      <c r="CZ227" s="522"/>
      <c r="DA227" s="522"/>
      <c r="DB227" s="522"/>
      <c r="DC227" s="523"/>
      <c r="DD227" s="729">
        <v>35</v>
      </c>
      <c r="DE227" s="729"/>
      <c r="DF227" s="729"/>
      <c r="DG227" s="729"/>
      <c r="DH227" s="729"/>
      <c r="DJ227" s="519" t="s">
        <v>1222</v>
      </c>
      <c r="DK227" s="521">
        <v>45</v>
      </c>
      <c r="DL227" s="522"/>
      <c r="DM227" s="522"/>
      <c r="DN227" s="522"/>
      <c r="DO227" s="522"/>
      <c r="DP227" s="522"/>
      <c r="DQ227" s="522"/>
      <c r="DR227" s="522"/>
      <c r="DS227" s="522"/>
      <c r="DT227" s="523"/>
      <c r="DU227" s="521">
        <v>60</v>
      </c>
      <c r="DV227" s="522"/>
      <c r="DW227" s="522"/>
      <c r="DX227" s="522"/>
      <c r="DY227" s="522"/>
      <c r="DZ227" s="523"/>
      <c r="EA227" s="729">
        <v>35</v>
      </c>
      <c r="EB227" s="729"/>
      <c r="EC227" s="729"/>
      <c r="ED227" s="729"/>
      <c r="EE227" s="729"/>
    </row>
    <row r="228" spans="1:136" x14ac:dyDescent="0.2">
      <c r="A228" s="8"/>
      <c r="B228" s="8"/>
      <c r="C228" s="8"/>
      <c r="D228" s="8"/>
      <c r="E228" s="8"/>
      <c r="F228" s="8"/>
      <c r="G228" s="8"/>
      <c r="H228" s="8"/>
      <c r="I228" s="8"/>
      <c r="J228" s="8"/>
      <c r="K228" s="8"/>
      <c r="L228" s="528"/>
      <c r="M228" s="528"/>
      <c r="N228" s="448"/>
      <c r="O228" s="448"/>
      <c r="U228" s="501" t="s">
        <v>938</v>
      </c>
      <c r="V228" s="501"/>
      <c r="W228" s="501"/>
      <c r="X228" s="501"/>
      <c r="Y228" s="501"/>
      <c r="Z228" s="501"/>
      <c r="AA228" s="501"/>
      <c r="AB228" s="501"/>
      <c r="AC228" s="501"/>
      <c r="AD228" s="501"/>
      <c r="AE228" s="501"/>
      <c r="AF228" s="501"/>
      <c r="AG228" s="501"/>
      <c r="AH228" s="501"/>
      <c r="AI228" s="501"/>
      <c r="AJ228" s="501"/>
      <c r="AK228" s="501"/>
      <c r="AL228" s="501"/>
      <c r="AM228" s="501"/>
      <c r="AN228" s="501"/>
      <c r="AO228" s="501"/>
      <c r="AP228" s="501"/>
      <c r="AQ228" s="35">
        <f t="shared" si="103"/>
        <v>0</v>
      </c>
      <c r="AR228" s="450" t="str">
        <f t="shared" si="104"/>
        <v/>
      </c>
      <c r="AS228" s="450" t="str">
        <f t="shared" si="105"/>
        <v/>
      </c>
      <c r="AT228" s="450" t="str">
        <f t="shared" si="106"/>
        <v/>
      </c>
      <c r="AU228" s="450" t="str">
        <f t="shared" si="107"/>
        <v/>
      </c>
      <c r="AV228" s="450" t="str">
        <f t="shared" si="108"/>
        <v/>
      </c>
      <c r="AW228" s="450" t="str">
        <f t="shared" si="109"/>
        <v/>
      </c>
      <c r="AX228" s="450" t="str">
        <f t="shared" si="110"/>
        <v/>
      </c>
      <c r="AY228" s="450" t="str">
        <f t="shared" si="111"/>
        <v/>
      </c>
      <c r="AZ228" s="450" t="str">
        <f t="shared" si="112"/>
        <v/>
      </c>
      <c r="BA228" s="450" t="str">
        <f t="shared" si="113"/>
        <v/>
      </c>
      <c r="BB228" s="450" t="str">
        <f t="shared" si="114"/>
        <v/>
      </c>
      <c r="BC228" s="450" t="str">
        <f t="shared" si="115"/>
        <v/>
      </c>
      <c r="BD228" s="450" t="str">
        <f t="shared" si="115"/>
        <v/>
      </c>
      <c r="BE228" s="450" t="str">
        <f t="shared" si="115"/>
        <v/>
      </c>
      <c r="BF228" s="450" t="str">
        <f t="shared" si="115"/>
        <v/>
      </c>
      <c r="BG228" s="450"/>
      <c r="BH228" s="450" t="str">
        <f t="shared" si="116"/>
        <v/>
      </c>
      <c r="BI228" s="450" t="str">
        <f t="shared" si="117"/>
        <v/>
      </c>
      <c r="BJ228" s="450" t="str">
        <f t="shared" si="118"/>
        <v/>
      </c>
      <c r="BK228" s="450" t="str">
        <f t="shared" si="119"/>
        <v/>
      </c>
      <c r="BL228" s="450" t="str">
        <f t="shared" si="120"/>
        <v/>
      </c>
      <c r="BM228" s="450" t="str">
        <f t="shared" si="121"/>
        <v/>
      </c>
      <c r="BP228" s="519" t="s">
        <v>1223</v>
      </c>
      <c r="BQ228" s="520">
        <v>300</v>
      </c>
      <c r="BR228" s="520">
        <v>350</v>
      </c>
      <c r="BS228" s="520">
        <v>450</v>
      </c>
      <c r="BT228" s="520">
        <v>450</v>
      </c>
      <c r="BU228" s="520">
        <v>600</v>
      </c>
      <c r="BV228" s="520">
        <v>600</v>
      </c>
      <c r="BW228" s="520">
        <v>850</v>
      </c>
      <c r="BX228" s="520">
        <v>1050</v>
      </c>
      <c r="BY228" s="520">
        <v>1250</v>
      </c>
      <c r="BZ228" s="520">
        <v>1650</v>
      </c>
      <c r="CA228" s="520">
        <v>600</v>
      </c>
      <c r="CB228" s="520">
        <v>850</v>
      </c>
      <c r="CC228" s="520">
        <v>1050</v>
      </c>
      <c r="CD228" s="520">
        <v>1250</v>
      </c>
      <c r="CE228" s="520">
        <v>1650</v>
      </c>
      <c r="CF228" s="520">
        <v>2050</v>
      </c>
      <c r="CG228" s="520">
        <v>300</v>
      </c>
      <c r="CH228" s="520">
        <v>350</v>
      </c>
      <c r="CI228" s="520">
        <v>450</v>
      </c>
      <c r="CJ228" s="520">
        <v>600</v>
      </c>
      <c r="CK228" s="520">
        <v>850</v>
      </c>
      <c r="CM228" s="519" t="s">
        <v>1223</v>
      </c>
      <c r="CN228" s="520">
        <v>300</v>
      </c>
      <c r="CO228" s="520">
        <v>350</v>
      </c>
      <c r="CP228" s="520">
        <v>450</v>
      </c>
      <c r="CQ228" s="520">
        <v>450</v>
      </c>
      <c r="CR228" s="520">
        <v>600</v>
      </c>
      <c r="CS228" s="520">
        <v>600</v>
      </c>
      <c r="CT228" s="520">
        <v>850</v>
      </c>
      <c r="CU228" s="520">
        <v>1050</v>
      </c>
      <c r="CV228" s="520">
        <v>1250</v>
      </c>
      <c r="CW228" s="520">
        <v>1650</v>
      </c>
      <c r="CX228" s="520">
        <v>600</v>
      </c>
      <c r="CY228" s="520">
        <v>850</v>
      </c>
      <c r="CZ228" s="520">
        <v>1050</v>
      </c>
      <c r="DA228" s="520">
        <v>1250</v>
      </c>
      <c r="DB228" s="520">
        <v>1650</v>
      </c>
      <c r="DC228" s="520">
        <v>2050</v>
      </c>
      <c r="DD228" s="520">
        <v>300</v>
      </c>
      <c r="DE228" s="520">
        <v>350</v>
      </c>
      <c r="DF228" s="520">
        <v>450</v>
      </c>
      <c r="DG228" s="520">
        <v>600</v>
      </c>
      <c r="DH228" s="520">
        <v>850</v>
      </c>
      <c r="DJ228" s="519" t="s">
        <v>1223</v>
      </c>
      <c r="DK228" s="520">
        <v>300</v>
      </c>
      <c r="DL228" s="520">
        <v>350</v>
      </c>
      <c r="DM228" s="520">
        <v>450</v>
      </c>
      <c r="DN228" s="520">
        <v>450</v>
      </c>
      <c r="DO228" s="520">
        <v>600</v>
      </c>
      <c r="DP228" s="520">
        <v>600</v>
      </c>
      <c r="DQ228" s="520">
        <v>850</v>
      </c>
      <c r="DR228" s="520">
        <v>1050</v>
      </c>
      <c r="DS228" s="520">
        <v>1250</v>
      </c>
      <c r="DT228" s="520">
        <v>1650</v>
      </c>
      <c r="DU228" s="520">
        <v>600</v>
      </c>
      <c r="DV228" s="520">
        <v>850</v>
      </c>
      <c r="DW228" s="520">
        <v>1050</v>
      </c>
      <c r="DX228" s="520">
        <v>1250</v>
      </c>
      <c r="DY228" s="520">
        <v>1650</v>
      </c>
      <c r="DZ228" s="520">
        <v>2050</v>
      </c>
      <c r="EA228" s="520">
        <v>300</v>
      </c>
      <c r="EB228" s="520">
        <v>350</v>
      </c>
      <c r="EC228" s="520">
        <v>450</v>
      </c>
      <c r="ED228" s="520">
        <v>600</v>
      </c>
      <c r="EE228" s="520">
        <v>850</v>
      </c>
    </row>
    <row r="229" spans="1:136" x14ac:dyDescent="0.2">
      <c r="A229" s="8"/>
      <c r="B229" s="8"/>
      <c r="C229" s="8"/>
      <c r="D229" s="8"/>
      <c r="E229" s="8"/>
      <c r="F229" s="8"/>
      <c r="G229" s="8"/>
      <c r="H229" s="8"/>
      <c r="I229" s="8"/>
      <c r="J229" s="8"/>
      <c r="K229" s="8"/>
      <c r="L229" s="528"/>
      <c r="M229" s="528"/>
      <c r="N229" s="448"/>
      <c r="O229" s="448"/>
      <c r="U229" s="501" t="s">
        <v>939</v>
      </c>
      <c r="V229" s="501"/>
      <c r="W229" s="501"/>
      <c r="X229" s="501"/>
      <c r="Y229" s="501"/>
      <c r="Z229" s="501"/>
      <c r="AA229" s="501"/>
      <c r="AB229" s="501"/>
      <c r="AC229" s="501"/>
      <c r="AD229" s="501"/>
      <c r="AE229" s="501"/>
      <c r="AF229" s="501"/>
      <c r="AG229" s="501"/>
      <c r="AH229" s="501"/>
      <c r="AI229" s="501"/>
      <c r="AJ229" s="501"/>
      <c r="AK229" s="501"/>
      <c r="AL229" s="501"/>
      <c r="AM229" s="501"/>
      <c r="AN229" s="501"/>
      <c r="AO229" s="501"/>
      <c r="AP229" s="501"/>
      <c r="AQ229" s="35">
        <f t="shared" si="103"/>
        <v>0</v>
      </c>
      <c r="AR229" s="450" t="str">
        <f t="shared" si="104"/>
        <v/>
      </c>
      <c r="AS229" s="450" t="str">
        <f t="shared" si="105"/>
        <v/>
      </c>
      <c r="AT229" s="450" t="str">
        <f t="shared" si="106"/>
        <v/>
      </c>
      <c r="AU229" s="450" t="str">
        <f t="shared" si="107"/>
        <v/>
      </c>
      <c r="AV229" s="450" t="str">
        <f t="shared" si="108"/>
        <v/>
      </c>
      <c r="AW229" s="450" t="str">
        <f t="shared" si="109"/>
        <v/>
      </c>
      <c r="AX229" s="450" t="str">
        <f t="shared" si="110"/>
        <v/>
      </c>
      <c r="AY229" s="450" t="str">
        <f t="shared" si="111"/>
        <v/>
      </c>
      <c r="AZ229" s="450" t="str">
        <f t="shared" si="112"/>
        <v/>
      </c>
      <c r="BA229" s="450" t="str">
        <f t="shared" si="113"/>
        <v/>
      </c>
      <c r="BB229" s="450" t="str">
        <f t="shared" si="114"/>
        <v/>
      </c>
      <c r="BC229" s="450" t="str">
        <f t="shared" si="115"/>
        <v/>
      </c>
      <c r="BD229" s="450" t="str">
        <f t="shared" si="115"/>
        <v/>
      </c>
      <c r="BE229" s="450" t="str">
        <f t="shared" si="115"/>
        <v/>
      </c>
      <c r="BF229" s="450" t="str">
        <f t="shared" si="115"/>
        <v/>
      </c>
      <c r="BG229" s="450"/>
      <c r="BH229" s="450" t="str">
        <f t="shared" si="116"/>
        <v/>
      </c>
      <c r="BI229" s="450" t="str">
        <f t="shared" si="117"/>
        <v/>
      </c>
      <c r="BJ229" s="450" t="str">
        <f t="shared" si="118"/>
        <v/>
      </c>
      <c r="BK229" s="450" t="str">
        <f t="shared" si="119"/>
        <v/>
      </c>
      <c r="BL229" s="450" t="str">
        <f t="shared" si="120"/>
        <v/>
      </c>
      <c r="BM229" s="450" t="str">
        <f t="shared" si="121"/>
        <v/>
      </c>
      <c r="BP229" s="519" t="s">
        <v>936</v>
      </c>
      <c r="BQ229" s="519"/>
      <c r="BR229" s="519"/>
      <c r="BS229" s="519"/>
      <c r="BT229" s="519"/>
      <c r="BU229" s="519"/>
      <c r="BV229" s="519"/>
      <c r="BW229" s="519"/>
      <c r="BX229" s="519"/>
      <c r="BY229" s="519"/>
      <c r="BZ229" s="519"/>
      <c r="CA229" s="519"/>
      <c r="CB229" s="519"/>
      <c r="CC229" s="519"/>
      <c r="CD229" s="519"/>
      <c r="CE229" s="519"/>
      <c r="CF229" s="519"/>
      <c r="CG229" s="519"/>
      <c r="CH229" s="519"/>
      <c r="CI229" s="519"/>
      <c r="CJ229" s="519"/>
      <c r="CK229" s="519"/>
      <c r="CM229" s="519" t="s">
        <v>936</v>
      </c>
      <c r="CN229" s="519"/>
      <c r="CO229" s="519"/>
      <c r="CP229" s="519"/>
      <c r="CQ229" s="519"/>
      <c r="CR229" s="519"/>
      <c r="CS229" s="519"/>
      <c r="CT229" s="519"/>
      <c r="CU229" s="519"/>
      <c r="CV229" s="519"/>
      <c r="CW229" s="519"/>
      <c r="CX229" s="519"/>
      <c r="CY229" s="519"/>
      <c r="CZ229" s="519"/>
      <c r="DA229" s="519"/>
      <c r="DB229" s="519"/>
      <c r="DC229" s="519"/>
      <c r="DD229" s="519"/>
      <c r="DE229" s="519"/>
      <c r="DF229" s="519"/>
      <c r="DG229" s="519"/>
      <c r="DH229" s="519"/>
      <c r="DJ229" s="519" t="s">
        <v>936</v>
      </c>
      <c r="DK229" s="519"/>
      <c r="DL229" s="519"/>
      <c r="DM229" s="519"/>
      <c r="DN229" s="519"/>
      <c r="DO229" s="519"/>
      <c r="DP229" s="519"/>
      <c r="DQ229" s="519"/>
      <c r="DR229" s="519"/>
      <c r="DS229" s="519"/>
      <c r="DT229" s="519"/>
      <c r="DU229" s="519"/>
      <c r="DV229" s="519"/>
      <c r="DW229" s="519"/>
      <c r="DX229" s="519"/>
      <c r="DY229" s="519"/>
      <c r="DZ229" s="519"/>
      <c r="EA229" s="519"/>
      <c r="EB229" s="519"/>
      <c r="EC229" s="519"/>
      <c r="ED229" s="519"/>
      <c r="EE229" s="519"/>
    </row>
    <row r="230" spans="1:136" x14ac:dyDescent="0.2">
      <c r="A230" s="8"/>
      <c r="B230" s="8"/>
      <c r="C230" s="8"/>
      <c r="D230" s="8"/>
      <c r="E230" s="8"/>
      <c r="F230" s="8"/>
      <c r="G230" s="8"/>
      <c r="H230" s="8"/>
      <c r="I230" s="8"/>
      <c r="J230" s="8"/>
      <c r="K230" s="8"/>
      <c r="L230" s="528"/>
      <c r="M230" s="528"/>
      <c r="N230" s="448"/>
      <c r="O230" s="448"/>
      <c r="U230" s="501" t="s">
        <v>940</v>
      </c>
      <c r="V230" s="501"/>
      <c r="W230" s="501"/>
      <c r="X230" s="501"/>
      <c r="Y230" s="501"/>
      <c r="Z230" s="501"/>
      <c r="AA230" s="501"/>
      <c r="AB230" s="501"/>
      <c r="AC230" s="501"/>
      <c r="AD230" s="501"/>
      <c r="AE230" s="501"/>
      <c r="AF230" s="501"/>
      <c r="AG230" s="501"/>
      <c r="AH230" s="501"/>
      <c r="AI230" s="501"/>
      <c r="AJ230" s="501"/>
      <c r="AK230" s="501"/>
      <c r="AL230" s="501"/>
      <c r="AM230" s="501"/>
      <c r="AN230" s="501"/>
      <c r="AO230" s="501"/>
      <c r="AP230" s="501"/>
      <c r="AQ230" s="35">
        <f t="shared" si="103"/>
        <v>0</v>
      </c>
      <c r="AR230" s="450" t="str">
        <f t="shared" si="104"/>
        <v/>
      </c>
      <c r="AS230" s="450" t="str">
        <f t="shared" si="105"/>
        <v/>
      </c>
      <c r="AT230" s="450" t="str">
        <f t="shared" si="106"/>
        <v/>
      </c>
      <c r="AU230" s="450" t="str">
        <f t="shared" si="107"/>
        <v/>
      </c>
      <c r="AV230" s="450" t="str">
        <f t="shared" si="108"/>
        <v/>
      </c>
      <c r="AW230" s="450" t="str">
        <f t="shared" si="109"/>
        <v/>
      </c>
      <c r="AX230" s="450" t="str">
        <f t="shared" si="110"/>
        <v/>
      </c>
      <c r="AY230" s="450" t="str">
        <f t="shared" si="111"/>
        <v/>
      </c>
      <c r="AZ230" s="450" t="str">
        <f t="shared" si="112"/>
        <v/>
      </c>
      <c r="BA230" s="450" t="str">
        <f t="shared" si="113"/>
        <v/>
      </c>
      <c r="BB230" s="450" t="str">
        <f t="shared" si="114"/>
        <v/>
      </c>
      <c r="BC230" s="450" t="str">
        <f t="shared" si="115"/>
        <v/>
      </c>
      <c r="BD230" s="450" t="str">
        <f t="shared" si="115"/>
        <v/>
      </c>
      <c r="BE230" s="450" t="str">
        <f t="shared" si="115"/>
        <v/>
      </c>
      <c r="BF230" s="450" t="str">
        <f t="shared" si="115"/>
        <v/>
      </c>
      <c r="BG230" s="450"/>
      <c r="BH230" s="450" t="str">
        <f t="shared" si="116"/>
        <v/>
      </c>
      <c r="BI230" s="450" t="str">
        <f t="shared" si="117"/>
        <v/>
      </c>
      <c r="BJ230" s="450" t="str">
        <f t="shared" si="118"/>
        <v/>
      </c>
      <c r="BK230" s="450" t="str">
        <f t="shared" si="119"/>
        <v/>
      </c>
      <c r="BL230" s="450" t="str">
        <f t="shared" si="120"/>
        <v/>
      </c>
      <c r="BM230" s="450" t="str">
        <f t="shared" si="121"/>
        <v/>
      </c>
      <c r="BP230" s="519" t="s">
        <v>937</v>
      </c>
      <c r="BQ230" s="519"/>
      <c r="BR230" s="519"/>
      <c r="BS230" s="519"/>
      <c r="BT230" s="519"/>
      <c r="BU230" s="519"/>
      <c r="BV230" s="519"/>
      <c r="BW230" s="519"/>
      <c r="BX230" s="519"/>
      <c r="BY230" s="519"/>
      <c r="BZ230" s="519"/>
      <c r="CA230" s="519"/>
      <c r="CB230" s="519"/>
      <c r="CC230" s="519"/>
      <c r="CD230" s="519"/>
      <c r="CE230" s="519"/>
      <c r="CF230" s="519"/>
      <c r="CG230" s="519"/>
      <c r="CH230" s="519"/>
      <c r="CI230" s="519"/>
      <c r="CJ230" s="519"/>
      <c r="CK230" s="519"/>
      <c r="CM230" s="519" t="s">
        <v>937</v>
      </c>
      <c r="CN230" s="519"/>
      <c r="CO230" s="519"/>
      <c r="CP230" s="519"/>
      <c r="CQ230" s="519"/>
      <c r="CR230" s="519"/>
      <c r="CS230" s="519"/>
      <c r="CT230" s="519"/>
      <c r="CU230" s="519"/>
      <c r="CV230" s="519"/>
      <c r="CW230" s="519"/>
      <c r="CX230" s="519"/>
      <c r="CY230" s="519"/>
      <c r="CZ230" s="519"/>
      <c r="DA230" s="519"/>
      <c r="DB230" s="519"/>
      <c r="DC230" s="519"/>
      <c r="DD230" s="519"/>
      <c r="DE230" s="519"/>
      <c r="DF230" s="519"/>
      <c r="DG230" s="519"/>
      <c r="DH230" s="519"/>
      <c r="DJ230" s="519" t="s">
        <v>937</v>
      </c>
      <c r="DK230" s="519"/>
      <c r="DL230" s="519"/>
      <c r="DM230" s="519"/>
      <c r="DN230" s="519"/>
      <c r="DO230" s="519"/>
      <c r="DP230" s="519"/>
      <c r="DQ230" s="519"/>
      <c r="DR230" s="519"/>
      <c r="DS230" s="519"/>
      <c r="DT230" s="519"/>
      <c r="DU230" s="519"/>
      <c r="DV230" s="519"/>
      <c r="DW230" s="519"/>
      <c r="DX230" s="519"/>
      <c r="DY230" s="519"/>
      <c r="DZ230" s="519"/>
      <c r="EA230" s="519"/>
      <c r="EB230" s="519"/>
      <c r="EC230" s="519"/>
      <c r="ED230" s="519"/>
      <c r="EE230" s="519"/>
    </row>
    <row r="231" spans="1:136" x14ac:dyDescent="0.2">
      <c r="A231" s="8"/>
      <c r="B231" s="8"/>
      <c r="C231" s="8"/>
      <c r="D231" s="8"/>
      <c r="E231" s="8"/>
      <c r="F231" s="8"/>
      <c r="G231" s="8"/>
      <c r="H231" s="8"/>
      <c r="I231" s="8"/>
      <c r="J231" s="8"/>
      <c r="K231" s="8"/>
      <c r="L231" s="528"/>
      <c r="M231" s="528"/>
      <c r="N231" s="448"/>
      <c r="O231" s="448"/>
      <c r="U231" s="501" t="s">
        <v>941</v>
      </c>
      <c r="V231" s="501"/>
      <c r="W231" s="501"/>
      <c r="X231" s="501"/>
      <c r="Y231" s="501"/>
      <c r="Z231" s="501"/>
      <c r="AA231" s="501"/>
      <c r="AB231" s="501"/>
      <c r="AC231" s="501"/>
      <c r="AD231" s="501"/>
      <c r="AE231" s="501"/>
      <c r="AF231" s="501"/>
      <c r="AG231" s="501"/>
      <c r="AH231" s="501"/>
      <c r="AI231" s="501"/>
      <c r="AJ231" s="501"/>
      <c r="AK231" s="501"/>
      <c r="AL231" s="501"/>
      <c r="AM231" s="501"/>
      <c r="AN231" s="501"/>
      <c r="AO231" s="501"/>
      <c r="AP231" s="501"/>
      <c r="AQ231" s="35">
        <f t="shared" si="103"/>
        <v>0</v>
      </c>
      <c r="AR231" s="450" t="str">
        <f t="shared" si="104"/>
        <v/>
      </c>
      <c r="AS231" s="450" t="str">
        <f t="shared" si="105"/>
        <v/>
      </c>
      <c r="AT231" s="450" t="str">
        <f t="shared" si="106"/>
        <v/>
      </c>
      <c r="AU231" s="450" t="str">
        <f t="shared" si="107"/>
        <v/>
      </c>
      <c r="AV231" s="450" t="str">
        <f t="shared" si="108"/>
        <v/>
      </c>
      <c r="AW231" s="450" t="str">
        <f t="shared" si="109"/>
        <v/>
      </c>
      <c r="AX231" s="450" t="str">
        <f t="shared" si="110"/>
        <v/>
      </c>
      <c r="AY231" s="450" t="str">
        <f t="shared" si="111"/>
        <v/>
      </c>
      <c r="AZ231" s="450" t="str">
        <f t="shared" si="112"/>
        <v/>
      </c>
      <c r="BA231" s="450" t="str">
        <f t="shared" si="113"/>
        <v/>
      </c>
      <c r="BB231" s="450" t="str">
        <f t="shared" si="114"/>
        <v/>
      </c>
      <c r="BC231" s="450" t="str">
        <f t="shared" si="115"/>
        <v/>
      </c>
      <c r="BD231" s="450" t="str">
        <f t="shared" si="115"/>
        <v/>
      </c>
      <c r="BE231" s="450" t="str">
        <f t="shared" si="115"/>
        <v/>
      </c>
      <c r="BF231" s="450" t="str">
        <f t="shared" si="115"/>
        <v/>
      </c>
      <c r="BG231" s="450"/>
      <c r="BH231" s="450" t="str">
        <f t="shared" si="116"/>
        <v/>
      </c>
      <c r="BI231" s="450" t="str">
        <f t="shared" si="117"/>
        <v/>
      </c>
      <c r="BJ231" s="450" t="str">
        <f t="shared" si="118"/>
        <v/>
      </c>
      <c r="BK231" s="450" t="str">
        <f t="shared" si="119"/>
        <v/>
      </c>
      <c r="BL231" s="450" t="str">
        <f t="shared" si="120"/>
        <v/>
      </c>
      <c r="BM231" s="450" t="str">
        <f t="shared" si="121"/>
        <v/>
      </c>
      <c r="BP231" s="519" t="s">
        <v>938</v>
      </c>
      <c r="BQ231" s="519"/>
      <c r="BR231" s="519"/>
      <c r="BS231" s="519"/>
      <c r="BT231" s="519"/>
      <c r="BU231" s="519"/>
      <c r="BV231" s="519"/>
      <c r="BW231" s="519"/>
      <c r="BX231" s="519"/>
      <c r="BY231" s="519"/>
      <c r="BZ231" s="519"/>
      <c r="CA231" s="519"/>
      <c r="CB231" s="519"/>
      <c r="CC231" s="519"/>
      <c r="CD231" s="519"/>
      <c r="CE231" s="519"/>
      <c r="CF231" s="519"/>
      <c r="CG231" s="519"/>
      <c r="CH231" s="519"/>
      <c r="CI231" s="519"/>
      <c r="CJ231" s="519"/>
      <c r="CK231" s="519"/>
      <c r="CM231" s="519" t="s">
        <v>938</v>
      </c>
      <c r="CN231" s="519"/>
      <c r="CO231" s="519"/>
      <c r="CP231" s="519"/>
      <c r="CQ231" s="519"/>
      <c r="CR231" s="519"/>
      <c r="CS231" s="519"/>
      <c r="CT231" s="519"/>
      <c r="CU231" s="519"/>
      <c r="CV231" s="519"/>
      <c r="CW231" s="519"/>
      <c r="CX231" s="519"/>
      <c r="CY231" s="519"/>
      <c r="CZ231" s="519"/>
      <c r="DA231" s="519"/>
      <c r="DB231" s="519"/>
      <c r="DC231" s="519"/>
      <c r="DD231" s="519"/>
      <c r="DE231" s="519"/>
      <c r="DF231" s="519"/>
      <c r="DG231" s="519"/>
      <c r="DH231" s="519"/>
      <c r="DJ231" s="519" t="s">
        <v>938</v>
      </c>
      <c r="DK231" s="519"/>
      <c r="DL231" s="519"/>
      <c r="DM231" s="519"/>
      <c r="DN231" s="519"/>
      <c r="DO231" s="519"/>
      <c r="DP231" s="519"/>
      <c r="DQ231" s="519"/>
      <c r="DR231" s="519"/>
      <c r="DS231" s="519"/>
      <c r="DT231" s="519"/>
      <c r="DU231" s="519"/>
      <c r="DV231" s="519"/>
      <c r="DW231" s="519"/>
      <c r="DX231" s="519"/>
      <c r="DY231" s="519"/>
      <c r="DZ231" s="519"/>
      <c r="EA231" s="519"/>
      <c r="EB231" s="519"/>
      <c r="EC231" s="519"/>
      <c r="ED231" s="519"/>
      <c r="EE231" s="519"/>
    </row>
    <row r="232" spans="1:136" x14ac:dyDescent="0.2">
      <c r="A232" s="8"/>
      <c r="B232" s="8"/>
      <c r="C232" s="8"/>
      <c r="D232" s="8"/>
      <c r="E232" s="8"/>
      <c r="F232" s="8"/>
      <c r="G232" s="8"/>
      <c r="H232" s="8"/>
      <c r="I232" s="8"/>
      <c r="J232" s="8"/>
      <c r="K232" s="8"/>
      <c r="L232" s="528"/>
      <c r="M232" s="528"/>
      <c r="N232" s="448"/>
      <c r="O232" s="448"/>
      <c r="U232" s="501" t="s">
        <v>942</v>
      </c>
      <c r="V232" s="501"/>
      <c r="W232" s="501"/>
      <c r="X232" s="501"/>
      <c r="Y232" s="501"/>
      <c r="Z232" s="501"/>
      <c r="AA232" s="501"/>
      <c r="AB232" s="501"/>
      <c r="AC232" s="501"/>
      <c r="AD232" s="501"/>
      <c r="AE232" s="501"/>
      <c r="AF232" s="501"/>
      <c r="AG232" s="501"/>
      <c r="AH232" s="501"/>
      <c r="AI232" s="501"/>
      <c r="AJ232" s="501"/>
      <c r="AK232" s="501"/>
      <c r="AL232" s="501"/>
      <c r="AM232" s="501"/>
      <c r="AN232" s="501"/>
      <c r="AO232" s="501"/>
      <c r="AP232" s="501"/>
      <c r="AQ232" s="35">
        <f t="shared" si="103"/>
        <v>0</v>
      </c>
      <c r="AR232" s="450" t="str">
        <f t="shared" si="104"/>
        <v/>
      </c>
      <c r="AS232" s="450" t="str">
        <f t="shared" si="105"/>
        <v/>
      </c>
      <c r="AT232" s="450" t="str">
        <f t="shared" si="106"/>
        <v/>
      </c>
      <c r="AU232" s="450" t="str">
        <f t="shared" si="107"/>
        <v/>
      </c>
      <c r="AV232" s="450" t="str">
        <f t="shared" si="108"/>
        <v/>
      </c>
      <c r="AW232" s="450" t="str">
        <f t="shared" si="109"/>
        <v/>
      </c>
      <c r="AX232" s="450" t="str">
        <f t="shared" si="110"/>
        <v/>
      </c>
      <c r="AY232" s="450" t="str">
        <f t="shared" si="111"/>
        <v/>
      </c>
      <c r="AZ232" s="450" t="str">
        <f t="shared" si="112"/>
        <v/>
      </c>
      <c r="BA232" s="450" t="str">
        <f t="shared" si="113"/>
        <v/>
      </c>
      <c r="BB232" s="450" t="str">
        <f t="shared" si="114"/>
        <v/>
      </c>
      <c r="BC232" s="450" t="str">
        <f t="shared" si="115"/>
        <v/>
      </c>
      <c r="BD232" s="450" t="str">
        <f t="shared" si="115"/>
        <v/>
      </c>
      <c r="BE232" s="450" t="str">
        <f t="shared" si="115"/>
        <v/>
      </c>
      <c r="BF232" s="450" t="str">
        <f t="shared" si="115"/>
        <v/>
      </c>
      <c r="BG232" s="450"/>
      <c r="BH232" s="450" t="str">
        <f t="shared" si="116"/>
        <v/>
      </c>
      <c r="BI232" s="450" t="str">
        <f t="shared" si="117"/>
        <v/>
      </c>
      <c r="BJ232" s="450" t="str">
        <f t="shared" si="118"/>
        <v/>
      </c>
      <c r="BK232" s="450" t="str">
        <f t="shared" si="119"/>
        <v/>
      </c>
      <c r="BL232" s="450" t="str">
        <f t="shared" si="120"/>
        <v/>
      </c>
      <c r="BM232" s="450" t="str">
        <f t="shared" si="121"/>
        <v/>
      </c>
      <c r="BP232" s="519" t="s">
        <v>939</v>
      </c>
      <c r="BQ232" s="519"/>
      <c r="BR232" s="519"/>
      <c r="BS232" s="519"/>
      <c r="BT232" s="519"/>
      <c r="BU232" s="519"/>
      <c r="BV232" s="519"/>
      <c r="BW232" s="519"/>
      <c r="BX232" s="519"/>
      <c r="BY232" s="519"/>
      <c r="BZ232" s="519"/>
      <c r="CA232" s="519"/>
      <c r="CB232" s="519"/>
      <c r="CC232" s="519"/>
      <c r="CD232" s="519"/>
      <c r="CE232" s="519"/>
      <c r="CF232" s="519"/>
      <c r="CG232" s="519"/>
      <c r="CH232" s="519"/>
      <c r="CI232" s="519"/>
      <c r="CJ232" s="519"/>
      <c r="CK232" s="519"/>
      <c r="CM232" s="519" t="s">
        <v>939</v>
      </c>
      <c r="CN232" s="519"/>
      <c r="CO232" s="519"/>
      <c r="CP232" s="519"/>
      <c r="CQ232" s="519"/>
      <c r="CR232" s="519"/>
      <c r="CS232" s="519"/>
      <c r="CT232" s="519"/>
      <c r="CU232" s="519"/>
      <c r="CV232" s="519"/>
      <c r="CW232" s="519"/>
      <c r="CX232" s="519"/>
      <c r="CY232" s="519"/>
      <c r="CZ232" s="519"/>
      <c r="DA232" s="519"/>
      <c r="DB232" s="519"/>
      <c r="DC232" s="519"/>
      <c r="DD232" s="519"/>
      <c r="DE232" s="519"/>
      <c r="DF232" s="519"/>
      <c r="DG232" s="519"/>
      <c r="DH232" s="519"/>
      <c r="DJ232" s="519" t="s">
        <v>939</v>
      </c>
      <c r="DK232" s="519"/>
      <c r="DL232" s="519"/>
      <c r="DM232" s="519"/>
      <c r="DN232" s="519"/>
      <c r="DO232" s="519"/>
      <c r="DP232" s="519"/>
      <c r="DQ232" s="519"/>
      <c r="DR232" s="519"/>
      <c r="DS232" s="519"/>
      <c r="DT232" s="519"/>
      <c r="DU232" s="519"/>
      <c r="DV232" s="519"/>
      <c r="DW232" s="519"/>
      <c r="DX232" s="519"/>
      <c r="DY232" s="519"/>
      <c r="DZ232" s="519"/>
      <c r="EA232" s="519"/>
      <c r="EB232" s="519"/>
      <c r="EC232" s="519"/>
      <c r="ED232" s="519"/>
      <c r="EE232" s="519"/>
    </row>
    <row r="233" spans="1:136" x14ac:dyDescent="0.2">
      <c r="A233" s="8"/>
      <c r="B233" s="8"/>
      <c r="C233" s="8"/>
      <c r="D233" s="8"/>
      <c r="E233" s="8"/>
      <c r="F233" s="8"/>
      <c r="G233" s="8"/>
      <c r="H233" s="8"/>
      <c r="I233" s="8"/>
      <c r="J233" s="8"/>
      <c r="K233" s="8"/>
      <c r="L233" s="528"/>
      <c r="M233" s="528"/>
      <c r="N233" s="448"/>
      <c r="O233" s="448"/>
      <c r="U233" s="501" t="s">
        <v>2072</v>
      </c>
      <c r="V233" s="501"/>
      <c r="W233" s="501"/>
      <c r="X233" s="501"/>
      <c r="Y233" s="501"/>
      <c r="Z233" s="501"/>
      <c r="AA233" s="501"/>
      <c r="AB233" s="501"/>
      <c r="AC233" s="501"/>
      <c r="AD233" s="501"/>
      <c r="AE233" s="501"/>
      <c r="AF233" s="501"/>
      <c r="AG233" s="501"/>
      <c r="AH233" s="501"/>
      <c r="AI233" s="501"/>
      <c r="AJ233" s="501"/>
      <c r="AK233" s="501"/>
      <c r="AL233" s="501"/>
      <c r="AM233" s="501"/>
      <c r="AN233" s="501"/>
      <c r="AO233" s="501"/>
      <c r="AP233" s="501"/>
      <c r="AQ233" s="35">
        <f>IF(U233=$V$183,1,0)</f>
        <v>0</v>
      </c>
      <c r="AR233" s="450" t="str">
        <f t="shared" ref="AR233:BF233" si="122">IF($AQ233=0,"",IF(AND(AR$225=1,V233&gt;0),V233,""))</f>
        <v/>
      </c>
      <c r="AS233" s="450" t="str">
        <f t="shared" si="122"/>
        <v/>
      </c>
      <c r="AT233" s="450" t="str">
        <f t="shared" si="122"/>
        <v/>
      </c>
      <c r="AU233" s="450" t="str">
        <f t="shared" si="122"/>
        <v/>
      </c>
      <c r="AV233" s="450" t="str">
        <f t="shared" si="122"/>
        <v/>
      </c>
      <c r="AW233" s="450" t="str">
        <f t="shared" si="122"/>
        <v/>
      </c>
      <c r="AX233" s="450" t="str">
        <f t="shared" si="122"/>
        <v/>
      </c>
      <c r="AY233" s="450" t="str">
        <f t="shared" si="122"/>
        <v/>
      </c>
      <c r="AZ233" s="450" t="str">
        <f t="shared" si="122"/>
        <v/>
      </c>
      <c r="BA233" s="450" t="str">
        <f t="shared" si="122"/>
        <v/>
      </c>
      <c r="BB233" s="450" t="str">
        <f t="shared" si="122"/>
        <v/>
      </c>
      <c r="BC233" s="450" t="str">
        <f t="shared" si="122"/>
        <v/>
      </c>
      <c r="BD233" s="450" t="str">
        <f t="shared" si="122"/>
        <v/>
      </c>
      <c r="BE233" s="450" t="str">
        <f t="shared" si="122"/>
        <v/>
      </c>
      <c r="BF233" s="450" t="str">
        <f t="shared" si="122"/>
        <v/>
      </c>
      <c r="BG233" s="450"/>
      <c r="BH233" s="450" t="str">
        <f t="shared" si="116"/>
        <v/>
      </c>
      <c r="BI233" s="450" t="str">
        <f t="shared" si="117"/>
        <v/>
      </c>
      <c r="BJ233" s="450" t="str">
        <f t="shared" si="118"/>
        <v/>
      </c>
      <c r="BK233" s="450" t="str">
        <f t="shared" si="119"/>
        <v/>
      </c>
      <c r="BL233" s="450" t="str">
        <f t="shared" si="120"/>
        <v/>
      </c>
      <c r="BM233" s="450" t="str">
        <f t="shared" si="121"/>
        <v/>
      </c>
      <c r="BP233" s="519" t="s">
        <v>940</v>
      </c>
      <c r="BQ233" s="519"/>
      <c r="BR233" s="519"/>
      <c r="BS233" s="519"/>
      <c r="BT233" s="519"/>
      <c r="BU233" s="519"/>
      <c r="BV233" s="519"/>
      <c r="BW233" s="519"/>
      <c r="BX233" s="519"/>
      <c r="BY233" s="519"/>
      <c r="BZ233" s="519"/>
      <c r="CA233" s="519"/>
      <c r="CB233" s="519"/>
      <c r="CC233" s="519"/>
      <c r="CD233" s="519"/>
      <c r="CE233" s="519"/>
      <c r="CF233" s="519"/>
      <c r="CG233" s="519"/>
      <c r="CH233" s="519"/>
      <c r="CI233" s="519"/>
      <c r="CJ233" s="519"/>
      <c r="CK233" s="519"/>
      <c r="CM233" s="519" t="s">
        <v>940</v>
      </c>
      <c r="CN233" s="519"/>
      <c r="CO233" s="519"/>
      <c r="CP233" s="519"/>
      <c r="CQ233" s="519"/>
      <c r="CR233" s="519"/>
      <c r="CS233" s="519"/>
      <c r="CT233" s="519"/>
      <c r="CU233" s="519"/>
      <c r="CV233" s="519"/>
      <c r="CW233" s="519"/>
      <c r="CX233" s="519"/>
      <c r="CY233" s="519"/>
      <c r="CZ233" s="519"/>
      <c r="DA233" s="519"/>
      <c r="DB233" s="519"/>
      <c r="DC233" s="519"/>
      <c r="DD233" s="519"/>
      <c r="DE233" s="519"/>
      <c r="DF233" s="519"/>
      <c r="DG233" s="519"/>
      <c r="DH233" s="519"/>
      <c r="DJ233" s="519" t="s">
        <v>940</v>
      </c>
      <c r="DK233" s="519"/>
      <c r="DL233" s="519"/>
      <c r="DM233" s="519"/>
      <c r="DN233" s="519"/>
      <c r="DO233" s="519"/>
      <c r="DP233" s="519"/>
      <c r="DQ233" s="519"/>
      <c r="DR233" s="519"/>
      <c r="DS233" s="519"/>
      <c r="DT233" s="519"/>
      <c r="DU233" s="519"/>
      <c r="DV233" s="519"/>
      <c r="DW233" s="519"/>
      <c r="DX233" s="519"/>
      <c r="DY233" s="519"/>
      <c r="DZ233" s="519"/>
      <c r="EA233" s="519"/>
      <c r="EB233" s="519"/>
      <c r="EC233" s="519"/>
      <c r="ED233" s="519"/>
      <c r="EE233" s="519"/>
    </row>
    <row r="234" spans="1:136" x14ac:dyDescent="0.2">
      <c r="A234" s="8"/>
      <c r="B234" s="8"/>
      <c r="C234" s="8"/>
      <c r="D234" s="8"/>
      <c r="E234" s="8"/>
      <c r="F234" s="8"/>
      <c r="G234" s="8"/>
      <c r="H234" s="8"/>
      <c r="I234" s="8"/>
      <c r="J234" s="8"/>
      <c r="K234" s="8"/>
      <c r="L234" s="528"/>
      <c r="M234" s="528"/>
      <c r="N234" s="448"/>
      <c r="O234" s="448"/>
      <c r="U234" s="501" t="s">
        <v>943</v>
      </c>
      <c r="V234" s="501"/>
      <c r="W234" s="501"/>
      <c r="X234" s="501"/>
      <c r="Y234" s="501"/>
      <c r="Z234" s="501"/>
      <c r="AA234" s="501"/>
      <c r="AB234" s="501"/>
      <c r="AC234" s="501"/>
      <c r="AD234" s="501"/>
      <c r="AE234" s="501"/>
      <c r="AF234" s="515">
        <v>2</v>
      </c>
      <c r="AG234" s="515">
        <v>2</v>
      </c>
      <c r="AH234" s="515">
        <v>2</v>
      </c>
      <c r="AI234" s="515">
        <v>2</v>
      </c>
      <c r="AJ234" s="515">
        <v>2</v>
      </c>
      <c r="AK234" s="501"/>
      <c r="AL234" s="501"/>
      <c r="AM234" s="501"/>
      <c r="AN234" s="501"/>
      <c r="AO234" s="501"/>
      <c r="AP234" s="501"/>
      <c r="AQ234" s="35">
        <f t="shared" si="103"/>
        <v>0</v>
      </c>
      <c r="AR234" s="450" t="str">
        <f t="shared" si="104"/>
        <v/>
      </c>
      <c r="AS234" s="450" t="str">
        <f t="shared" si="105"/>
        <v/>
      </c>
      <c r="AT234" s="450" t="str">
        <f t="shared" si="106"/>
        <v/>
      </c>
      <c r="AU234" s="450" t="str">
        <f t="shared" si="107"/>
        <v/>
      </c>
      <c r="AV234" s="450" t="str">
        <f t="shared" si="108"/>
        <v/>
      </c>
      <c r="AW234" s="450" t="str">
        <f t="shared" si="109"/>
        <v/>
      </c>
      <c r="AX234" s="450" t="str">
        <f t="shared" si="110"/>
        <v/>
      </c>
      <c r="AY234" s="450" t="str">
        <f t="shared" si="111"/>
        <v/>
      </c>
      <c r="AZ234" s="450" t="str">
        <f t="shared" si="112"/>
        <v/>
      </c>
      <c r="BA234" s="450" t="str">
        <f t="shared" si="113"/>
        <v/>
      </c>
      <c r="BB234" s="450" t="str">
        <f t="shared" si="114"/>
        <v/>
      </c>
      <c r="BC234" s="450" t="str">
        <f t="shared" si="115"/>
        <v/>
      </c>
      <c r="BD234" s="450" t="str">
        <f t="shared" si="115"/>
        <v/>
      </c>
      <c r="BE234" s="450" t="str">
        <f t="shared" si="115"/>
        <v/>
      </c>
      <c r="BF234" s="450" t="str">
        <f t="shared" si="115"/>
        <v/>
      </c>
      <c r="BG234" s="450"/>
      <c r="BH234" s="450" t="str">
        <f t="shared" si="116"/>
        <v/>
      </c>
      <c r="BI234" s="450" t="str">
        <f t="shared" si="117"/>
        <v/>
      </c>
      <c r="BJ234" s="450" t="str">
        <f t="shared" si="118"/>
        <v/>
      </c>
      <c r="BK234" s="450" t="str">
        <f t="shared" si="119"/>
        <v/>
      </c>
      <c r="BL234" s="450" t="str">
        <f t="shared" si="120"/>
        <v/>
      </c>
      <c r="BM234" s="450" t="str">
        <f t="shared" si="121"/>
        <v/>
      </c>
      <c r="BP234" s="519" t="s">
        <v>941</v>
      </c>
      <c r="BQ234" s="519"/>
      <c r="BR234" s="519"/>
      <c r="BS234" s="519"/>
      <c r="BT234" s="519"/>
      <c r="BU234" s="519"/>
      <c r="BV234" s="519"/>
      <c r="BW234" s="519"/>
      <c r="BX234" s="519"/>
      <c r="BY234" s="519"/>
      <c r="BZ234" s="519"/>
      <c r="CA234" s="519"/>
      <c r="CB234" s="519"/>
      <c r="CC234" s="519"/>
      <c r="CD234" s="519"/>
      <c r="CE234" s="519"/>
      <c r="CF234" s="519"/>
      <c r="CG234" s="519"/>
      <c r="CH234" s="519"/>
      <c r="CI234" s="519"/>
      <c r="CJ234" s="519"/>
      <c r="CK234" s="519"/>
      <c r="CL234" s="498"/>
      <c r="CM234" s="519" t="s">
        <v>941</v>
      </c>
      <c r="CN234" s="519"/>
      <c r="CO234" s="519"/>
      <c r="CP234" s="519"/>
      <c r="CQ234" s="519"/>
      <c r="CR234" s="519"/>
      <c r="CS234" s="519"/>
      <c r="CT234" s="519"/>
      <c r="CU234" s="519"/>
      <c r="CV234" s="519"/>
      <c r="CW234" s="519"/>
      <c r="CX234" s="519"/>
      <c r="CY234" s="519"/>
      <c r="CZ234" s="519"/>
      <c r="DA234" s="519"/>
      <c r="DB234" s="519"/>
      <c r="DC234" s="519"/>
      <c r="DD234" s="519"/>
      <c r="DE234" s="519"/>
      <c r="DF234" s="519"/>
      <c r="DG234" s="519"/>
      <c r="DH234" s="519"/>
      <c r="DJ234" s="519" t="s">
        <v>941</v>
      </c>
      <c r="DK234" s="519"/>
      <c r="DL234" s="519"/>
      <c r="DM234" s="519"/>
      <c r="DN234" s="519"/>
      <c r="DO234" s="519"/>
      <c r="DP234" s="519"/>
      <c r="DQ234" s="519"/>
      <c r="DR234" s="519"/>
      <c r="DS234" s="519"/>
      <c r="DT234" s="519"/>
      <c r="DU234" s="519"/>
      <c r="DV234" s="519"/>
      <c r="DW234" s="519"/>
      <c r="DX234" s="519"/>
      <c r="DY234" s="519"/>
      <c r="DZ234" s="519"/>
      <c r="EA234" s="519"/>
      <c r="EB234" s="519"/>
      <c r="EC234" s="519"/>
      <c r="ED234" s="519"/>
      <c r="EE234" s="519"/>
    </row>
    <row r="235" spans="1:136" x14ac:dyDescent="0.2">
      <c r="A235" s="8"/>
      <c r="B235" s="8"/>
      <c r="C235" s="8"/>
      <c r="D235" s="8"/>
      <c r="E235" s="8"/>
      <c r="F235" s="8"/>
      <c r="G235" s="8"/>
      <c r="H235" s="8"/>
      <c r="I235" s="8"/>
      <c r="J235" s="8"/>
      <c r="K235" s="8"/>
      <c r="L235" s="528"/>
      <c r="M235" s="528"/>
      <c r="N235" s="448"/>
      <c r="O235" s="448"/>
      <c r="U235" s="501" t="s">
        <v>944</v>
      </c>
      <c r="V235" s="501"/>
      <c r="W235" s="501"/>
      <c r="X235" s="501"/>
      <c r="Y235" s="501"/>
      <c r="Z235" s="501"/>
      <c r="AA235" s="501"/>
      <c r="AB235" s="501"/>
      <c r="AC235" s="501"/>
      <c r="AD235" s="501"/>
      <c r="AE235" s="501"/>
      <c r="AF235" s="501"/>
      <c r="AG235" s="501"/>
      <c r="AH235" s="515">
        <v>2</v>
      </c>
      <c r="AI235" s="515">
        <v>2</v>
      </c>
      <c r="AJ235" s="515">
        <v>2</v>
      </c>
      <c r="AK235" s="501"/>
      <c r="AL235" s="515">
        <v>2</v>
      </c>
      <c r="AM235" s="501"/>
      <c r="AN235" s="501"/>
      <c r="AO235" s="501"/>
      <c r="AP235" s="501"/>
      <c r="AQ235" s="35">
        <f t="shared" si="103"/>
        <v>0</v>
      </c>
      <c r="AR235" s="450" t="str">
        <f t="shared" si="104"/>
        <v/>
      </c>
      <c r="AS235" s="450" t="str">
        <f t="shared" si="105"/>
        <v/>
      </c>
      <c r="AT235" s="450" t="str">
        <f t="shared" si="106"/>
        <v/>
      </c>
      <c r="AU235" s="450" t="str">
        <f t="shared" si="107"/>
        <v/>
      </c>
      <c r="AV235" s="450" t="str">
        <f t="shared" si="108"/>
        <v/>
      </c>
      <c r="AW235" s="450" t="str">
        <f t="shared" si="109"/>
        <v/>
      </c>
      <c r="AX235" s="450" t="str">
        <f t="shared" si="110"/>
        <v/>
      </c>
      <c r="AY235" s="450" t="str">
        <f t="shared" si="111"/>
        <v/>
      </c>
      <c r="AZ235" s="450" t="str">
        <f t="shared" si="112"/>
        <v/>
      </c>
      <c r="BA235" s="450" t="str">
        <f t="shared" si="113"/>
        <v/>
      </c>
      <c r="BB235" s="450" t="str">
        <f t="shared" si="114"/>
        <v/>
      </c>
      <c r="BC235" s="450" t="str">
        <f t="shared" si="115"/>
        <v/>
      </c>
      <c r="BD235" s="450" t="str">
        <f t="shared" si="115"/>
        <v/>
      </c>
      <c r="BE235" s="450" t="str">
        <f t="shared" si="115"/>
        <v/>
      </c>
      <c r="BF235" s="450" t="str">
        <f t="shared" si="115"/>
        <v/>
      </c>
      <c r="BG235" s="450"/>
      <c r="BH235" s="450" t="str">
        <f t="shared" si="116"/>
        <v/>
      </c>
      <c r="BI235" s="450" t="str">
        <f t="shared" si="117"/>
        <v/>
      </c>
      <c r="BJ235" s="450" t="str">
        <f t="shared" si="118"/>
        <v/>
      </c>
      <c r="BK235" s="450" t="str">
        <f t="shared" si="119"/>
        <v/>
      </c>
      <c r="BL235" s="450" t="str">
        <f t="shared" si="120"/>
        <v/>
      </c>
      <c r="BM235" s="450" t="str">
        <f t="shared" si="121"/>
        <v/>
      </c>
      <c r="BP235" s="519" t="s">
        <v>942</v>
      </c>
      <c r="BQ235" s="519"/>
      <c r="BR235" s="519"/>
      <c r="BS235" s="519"/>
      <c r="BT235" s="519"/>
      <c r="BU235" s="519"/>
      <c r="BV235" s="519"/>
      <c r="BW235" s="519"/>
      <c r="BX235" s="519"/>
      <c r="BY235" s="519"/>
      <c r="BZ235" s="519"/>
      <c r="CA235" s="519"/>
      <c r="CB235" s="519"/>
      <c r="CC235" s="519"/>
      <c r="CD235" s="519"/>
      <c r="CE235" s="519"/>
      <c r="CF235" s="519"/>
      <c r="CG235" s="519"/>
      <c r="CH235" s="519"/>
      <c r="CI235" s="519"/>
      <c r="CJ235" s="519"/>
      <c r="CK235" s="519"/>
      <c r="CL235" s="498"/>
      <c r="CM235" s="519" t="s">
        <v>942</v>
      </c>
      <c r="CN235" s="519"/>
      <c r="CO235" s="519"/>
      <c r="CP235" s="519"/>
      <c r="CQ235" s="519"/>
      <c r="CR235" s="519"/>
      <c r="CS235" s="519"/>
      <c r="CT235" s="519"/>
      <c r="CU235" s="519"/>
      <c r="CV235" s="519"/>
      <c r="CW235" s="519"/>
      <c r="CX235" s="519"/>
      <c r="CY235" s="519"/>
      <c r="CZ235" s="519"/>
      <c r="DA235" s="519"/>
      <c r="DB235" s="519"/>
      <c r="DC235" s="519"/>
      <c r="DD235" s="519"/>
      <c r="DE235" s="519"/>
      <c r="DF235" s="519"/>
      <c r="DG235" s="519"/>
      <c r="DH235" s="519"/>
      <c r="DJ235" s="519" t="s">
        <v>942</v>
      </c>
      <c r="DK235" s="519"/>
      <c r="DL235" s="519"/>
      <c r="DM235" s="519"/>
      <c r="DN235" s="519"/>
      <c r="DO235" s="519"/>
      <c r="DP235" s="519"/>
      <c r="DQ235" s="519"/>
      <c r="DR235" s="519"/>
      <c r="DS235" s="519"/>
      <c r="DT235" s="519"/>
      <c r="DU235" s="519"/>
      <c r="DV235" s="519"/>
      <c r="DW235" s="519"/>
      <c r="DX235" s="519"/>
      <c r="DY235" s="519"/>
      <c r="DZ235" s="519"/>
      <c r="EA235" s="519"/>
      <c r="EB235" s="519"/>
      <c r="EC235" s="519"/>
      <c r="ED235" s="519"/>
      <c r="EE235" s="519"/>
    </row>
    <row r="236" spans="1:136" x14ac:dyDescent="0.2">
      <c r="A236" s="8"/>
      <c r="B236" s="8"/>
      <c r="C236" s="8"/>
      <c r="D236" s="8"/>
      <c r="E236" s="8"/>
      <c r="F236" s="8"/>
      <c r="G236" s="8"/>
      <c r="H236" s="8"/>
      <c r="I236" s="8"/>
      <c r="J236" s="8"/>
      <c r="K236" s="8"/>
      <c r="L236" s="528"/>
      <c r="M236" s="528"/>
      <c r="N236" s="448"/>
      <c r="O236" s="115"/>
      <c r="P236" s="115"/>
      <c r="Q236" s="115"/>
      <c r="R236" s="115"/>
      <c r="S236" s="115"/>
      <c r="T236" s="115"/>
      <c r="U236" s="501" t="s">
        <v>945</v>
      </c>
      <c r="V236" s="501"/>
      <c r="W236" s="501"/>
      <c r="X236" s="501"/>
      <c r="Y236" s="501"/>
      <c r="Z236" s="501"/>
      <c r="AA236" s="501"/>
      <c r="AB236" s="501"/>
      <c r="AC236" s="501"/>
      <c r="AD236" s="501"/>
      <c r="AE236" s="501"/>
      <c r="AF236" s="501"/>
      <c r="AG236" s="501"/>
      <c r="AH236" s="501"/>
      <c r="AI236" s="501"/>
      <c r="AJ236" s="501"/>
      <c r="AK236" s="501"/>
      <c r="AL236" s="515">
        <v>2</v>
      </c>
      <c r="AM236" s="515">
        <v>2</v>
      </c>
      <c r="AN236" s="501"/>
      <c r="AO236" s="501"/>
      <c r="AP236" s="501"/>
      <c r="AQ236" s="35">
        <f t="shared" si="103"/>
        <v>0</v>
      </c>
      <c r="AR236" s="450" t="str">
        <f t="shared" si="104"/>
        <v/>
      </c>
      <c r="AS236" s="450" t="str">
        <f t="shared" si="105"/>
        <v/>
      </c>
      <c r="AT236" s="450" t="str">
        <f t="shared" si="106"/>
        <v/>
      </c>
      <c r="AU236" s="450" t="str">
        <f t="shared" si="107"/>
        <v/>
      </c>
      <c r="AV236" s="450" t="str">
        <f t="shared" si="108"/>
        <v/>
      </c>
      <c r="AW236" s="450" t="str">
        <f t="shared" si="109"/>
        <v/>
      </c>
      <c r="AX236" s="450" t="str">
        <f t="shared" si="110"/>
        <v/>
      </c>
      <c r="AY236" s="450" t="str">
        <f t="shared" si="111"/>
        <v/>
      </c>
      <c r="AZ236" s="450" t="str">
        <f t="shared" si="112"/>
        <v/>
      </c>
      <c r="BA236" s="450" t="str">
        <f t="shared" si="113"/>
        <v/>
      </c>
      <c r="BB236" s="450" t="str">
        <f t="shared" si="114"/>
        <v/>
      </c>
      <c r="BC236" s="450" t="str">
        <f t="shared" si="115"/>
        <v/>
      </c>
      <c r="BD236" s="450" t="str">
        <f t="shared" si="115"/>
        <v/>
      </c>
      <c r="BE236" s="450" t="str">
        <f t="shared" si="115"/>
        <v/>
      </c>
      <c r="BF236" s="450" t="str">
        <f t="shared" si="115"/>
        <v/>
      </c>
      <c r="BG236" s="450"/>
      <c r="BH236" s="450" t="str">
        <f t="shared" si="116"/>
        <v/>
      </c>
      <c r="BI236" s="450" t="str">
        <f t="shared" si="117"/>
        <v/>
      </c>
      <c r="BJ236" s="450" t="str">
        <f t="shared" si="118"/>
        <v/>
      </c>
      <c r="BK236" s="450" t="str">
        <f t="shared" si="119"/>
        <v/>
      </c>
      <c r="BL236" s="450" t="str">
        <f t="shared" si="120"/>
        <v/>
      </c>
      <c r="BM236" s="450" t="str">
        <f t="shared" si="121"/>
        <v/>
      </c>
      <c r="BP236" s="519" t="s">
        <v>2072</v>
      </c>
      <c r="BQ236" s="519"/>
      <c r="BR236" s="519"/>
      <c r="BS236" s="519"/>
      <c r="BT236" s="519"/>
      <c r="BU236" s="519"/>
      <c r="BV236" s="519"/>
      <c r="BW236" s="519"/>
      <c r="BX236" s="519"/>
      <c r="BY236" s="519"/>
      <c r="BZ236" s="519"/>
      <c r="CA236" s="519"/>
      <c r="CB236" s="519"/>
      <c r="CC236" s="519"/>
      <c r="CD236" s="519"/>
      <c r="CE236" s="519"/>
      <c r="CF236" s="519"/>
      <c r="CG236" s="519"/>
      <c r="CH236" s="519"/>
      <c r="CI236" s="519"/>
      <c r="CJ236" s="519"/>
      <c r="CK236" s="519"/>
      <c r="CL236" s="498"/>
      <c r="CM236" s="519" t="s">
        <v>2072</v>
      </c>
      <c r="CN236" s="519"/>
      <c r="CO236" s="519"/>
      <c r="CP236" s="519"/>
      <c r="CQ236" s="519"/>
      <c r="CR236" s="519"/>
      <c r="CS236" s="519"/>
      <c r="CT236" s="519"/>
      <c r="CU236" s="519"/>
      <c r="CV236" s="519"/>
      <c r="CW236" s="519"/>
      <c r="CX236" s="519"/>
      <c r="CY236" s="519"/>
      <c r="CZ236" s="519"/>
      <c r="DA236" s="519"/>
      <c r="DB236" s="519"/>
      <c r="DC236" s="519"/>
      <c r="DD236" s="519"/>
      <c r="DE236" s="519"/>
      <c r="DF236" s="519"/>
      <c r="DG236" s="519"/>
      <c r="DH236" s="519"/>
      <c r="DJ236" s="519" t="s">
        <v>2072</v>
      </c>
      <c r="DK236" s="519"/>
      <c r="DL236" s="519"/>
      <c r="DM236" s="519"/>
      <c r="DN236" s="519"/>
      <c r="DO236" s="519"/>
      <c r="DP236" s="519"/>
      <c r="DQ236" s="519"/>
      <c r="DR236" s="519"/>
      <c r="DS236" s="519"/>
      <c r="DT236" s="519"/>
      <c r="DU236" s="519"/>
      <c r="DV236" s="519"/>
      <c r="DW236" s="519"/>
      <c r="DX236" s="519"/>
      <c r="DY236" s="519"/>
      <c r="DZ236" s="519"/>
      <c r="EA236" s="519"/>
      <c r="EB236" s="519"/>
      <c r="EC236" s="519"/>
      <c r="ED236" s="519"/>
      <c r="EE236" s="519"/>
    </row>
    <row r="237" spans="1:136" x14ac:dyDescent="0.2">
      <c r="A237" s="8"/>
      <c r="B237" s="8"/>
      <c r="C237" s="8"/>
      <c r="D237" s="8"/>
      <c r="E237" s="8"/>
      <c r="F237" s="8"/>
      <c r="G237" s="8"/>
      <c r="H237" s="8"/>
      <c r="I237" s="8"/>
      <c r="J237" s="8"/>
      <c r="K237" s="8"/>
      <c r="L237" s="528"/>
      <c r="M237" s="528"/>
      <c r="N237" s="448"/>
      <c r="O237" s="115"/>
      <c r="P237" s="115"/>
      <c r="Q237" s="115"/>
      <c r="R237" s="115"/>
      <c r="S237" s="115"/>
      <c r="T237" s="115"/>
      <c r="U237" s="501" t="s">
        <v>946</v>
      </c>
      <c r="V237" s="501"/>
      <c r="W237" s="501"/>
      <c r="X237" s="501"/>
      <c r="Y237" s="501"/>
      <c r="Z237" s="501"/>
      <c r="AA237" s="501"/>
      <c r="AB237" s="501"/>
      <c r="AC237" s="501"/>
      <c r="AD237" s="501"/>
      <c r="AE237" s="501"/>
      <c r="AF237" s="501"/>
      <c r="AG237" s="501"/>
      <c r="AH237" s="501"/>
      <c r="AI237" s="501"/>
      <c r="AJ237" s="501"/>
      <c r="AK237" s="501"/>
      <c r="AL237" s="515">
        <v>4</v>
      </c>
      <c r="AM237" s="501"/>
      <c r="AN237" s="501"/>
      <c r="AO237" s="501"/>
      <c r="AP237" s="501"/>
      <c r="AQ237" s="35">
        <f t="shared" si="103"/>
        <v>0</v>
      </c>
      <c r="AR237" s="450" t="str">
        <f t="shared" si="104"/>
        <v/>
      </c>
      <c r="AS237" s="450" t="str">
        <f t="shared" si="105"/>
        <v/>
      </c>
      <c r="AT237" s="450" t="str">
        <f t="shared" si="106"/>
        <v/>
      </c>
      <c r="AU237" s="450" t="str">
        <f t="shared" si="107"/>
        <v/>
      </c>
      <c r="AV237" s="450" t="str">
        <f t="shared" si="108"/>
        <v/>
      </c>
      <c r="AW237" s="450" t="str">
        <f t="shared" si="109"/>
        <v/>
      </c>
      <c r="AX237" s="450" t="str">
        <f t="shared" si="110"/>
        <v/>
      </c>
      <c r="AY237" s="450" t="str">
        <f t="shared" si="111"/>
        <v/>
      </c>
      <c r="AZ237" s="450" t="str">
        <f t="shared" si="112"/>
        <v/>
      </c>
      <c r="BA237" s="450" t="str">
        <f t="shared" si="113"/>
        <v/>
      </c>
      <c r="BB237" s="450" t="str">
        <f t="shared" si="114"/>
        <v/>
      </c>
      <c r="BC237" s="450" t="str">
        <f t="shared" si="115"/>
        <v/>
      </c>
      <c r="BD237" s="450" t="str">
        <f t="shared" si="115"/>
        <v/>
      </c>
      <c r="BE237" s="450" t="str">
        <f t="shared" si="115"/>
        <v/>
      </c>
      <c r="BF237" s="450" t="str">
        <f t="shared" si="115"/>
        <v/>
      </c>
      <c r="BG237" s="450"/>
      <c r="BH237" s="450" t="str">
        <f t="shared" si="116"/>
        <v/>
      </c>
      <c r="BI237" s="450" t="str">
        <f t="shared" si="117"/>
        <v/>
      </c>
      <c r="BJ237" s="450" t="str">
        <f t="shared" si="118"/>
        <v/>
      </c>
      <c r="BK237" s="450" t="str">
        <f t="shared" si="119"/>
        <v/>
      </c>
      <c r="BL237" s="450" t="str">
        <f t="shared" si="120"/>
        <v/>
      </c>
      <c r="BM237" s="450" t="str">
        <f t="shared" si="121"/>
        <v/>
      </c>
      <c r="BP237" s="519" t="s">
        <v>943</v>
      </c>
      <c r="BQ237" s="519"/>
      <c r="BR237" s="519"/>
      <c r="BS237" s="519"/>
      <c r="BT237" s="519"/>
      <c r="BU237" s="519"/>
      <c r="BV237" s="515" t="s">
        <v>2902</v>
      </c>
      <c r="BW237" s="515" t="s">
        <v>2902</v>
      </c>
      <c r="BX237" s="515" t="s">
        <v>2902</v>
      </c>
      <c r="BY237" s="515" t="s">
        <v>2902</v>
      </c>
      <c r="BZ237" s="515" t="s">
        <v>2902</v>
      </c>
      <c r="CA237" s="519"/>
      <c r="CB237" s="519"/>
      <c r="CC237" s="519"/>
      <c r="CD237" s="519"/>
      <c r="CE237" s="519"/>
      <c r="CF237" s="519"/>
      <c r="CG237" s="519"/>
      <c r="CH237" s="519"/>
      <c r="CI237" s="519"/>
      <c r="CJ237" s="519"/>
      <c r="CK237" s="519"/>
      <c r="CL237" s="498">
        <v>1</v>
      </c>
      <c r="CM237" s="519" t="s">
        <v>943</v>
      </c>
      <c r="CN237" s="519"/>
      <c r="CO237" s="519"/>
      <c r="CP237" s="519"/>
      <c r="CQ237" s="519"/>
      <c r="CR237" s="519"/>
      <c r="CS237" s="515" t="s">
        <v>2907</v>
      </c>
      <c r="CT237" s="515" t="s">
        <v>2906</v>
      </c>
      <c r="CU237" s="515" t="s">
        <v>2906</v>
      </c>
      <c r="CV237" s="515" t="s">
        <v>2906</v>
      </c>
      <c r="CW237" s="515" t="s">
        <v>2906</v>
      </c>
      <c r="CX237" s="519"/>
      <c r="CY237" s="519"/>
      <c r="CZ237" s="519"/>
      <c r="DA237" s="519"/>
      <c r="DB237" s="519"/>
      <c r="DC237" s="519"/>
      <c r="DD237" s="519"/>
      <c r="DE237" s="519"/>
      <c r="DF237" s="519"/>
      <c r="DG237" s="519"/>
      <c r="DH237" s="519"/>
      <c r="DJ237" s="519" t="s">
        <v>943</v>
      </c>
      <c r="DK237" s="519"/>
      <c r="DL237" s="519"/>
      <c r="DM237" s="519"/>
      <c r="DN237" s="519"/>
      <c r="DO237" s="519"/>
      <c r="DP237" s="515">
        <v>2</v>
      </c>
      <c r="DQ237" s="515">
        <v>2</v>
      </c>
      <c r="DR237" s="515">
        <v>2</v>
      </c>
      <c r="DS237" s="515">
        <v>2</v>
      </c>
      <c r="DT237" s="515">
        <v>2</v>
      </c>
      <c r="DU237" s="519"/>
      <c r="DV237" s="519"/>
      <c r="DW237" s="519"/>
      <c r="DX237" s="519"/>
      <c r="DY237" s="519"/>
      <c r="DZ237" s="519"/>
      <c r="EA237" s="519"/>
      <c r="EB237" s="519"/>
      <c r="EC237" s="519"/>
      <c r="ED237" s="519"/>
      <c r="EE237" s="519"/>
      <c r="EF237" s="449">
        <v>2</v>
      </c>
    </row>
    <row r="238" spans="1:136" x14ac:dyDescent="0.2">
      <c r="A238" s="8"/>
      <c r="B238" s="8"/>
      <c r="C238" s="8"/>
      <c r="D238" s="8"/>
      <c r="E238" s="8"/>
      <c r="F238" s="8"/>
      <c r="G238" s="8"/>
      <c r="H238" s="8"/>
      <c r="I238" s="8"/>
      <c r="J238" s="8"/>
      <c r="K238" s="8"/>
      <c r="L238" s="528"/>
      <c r="M238" s="528"/>
      <c r="N238" s="448"/>
      <c r="O238" s="115"/>
      <c r="P238" s="115"/>
      <c r="Q238" s="115"/>
      <c r="R238" s="115"/>
      <c r="S238" s="115"/>
      <c r="T238" s="115"/>
      <c r="U238" s="501" t="s">
        <v>947</v>
      </c>
      <c r="V238" s="501"/>
      <c r="W238" s="501"/>
      <c r="X238" s="501"/>
      <c r="Y238" s="501"/>
      <c r="Z238" s="501"/>
      <c r="AA238" s="501"/>
      <c r="AB238" s="501"/>
      <c r="AC238" s="501"/>
      <c r="AD238" s="501"/>
      <c r="AE238" s="501"/>
      <c r="AF238" s="501"/>
      <c r="AG238" s="501"/>
      <c r="AH238" s="501"/>
      <c r="AI238" s="501"/>
      <c r="AJ238" s="501"/>
      <c r="AK238" s="501"/>
      <c r="AL238" s="515">
        <v>4</v>
      </c>
      <c r="AM238" s="515">
        <v>4</v>
      </c>
      <c r="AN238" s="501"/>
      <c r="AO238" s="501"/>
      <c r="AP238" s="501"/>
      <c r="AQ238" s="35">
        <f t="shared" si="103"/>
        <v>0</v>
      </c>
      <c r="AR238" s="450" t="str">
        <f t="shared" si="104"/>
        <v/>
      </c>
      <c r="AS238" s="450" t="str">
        <f t="shared" si="105"/>
        <v/>
      </c>
      <c r="AT238" s="450" t="str">
        <f t="shared" si="106"/>
        <v/>
      </c>
      <c r="AU238" s="450" t="str">
        <f t="shared" si="107"/>
        <v/>
      </c>
      <c r="AV238" s="450" t="str">
        <f t="shared" si="108"/>
        <v/>
      </c>
      <c r="AW238" s="450" t="str">
        <f t="shared" si="109"/>
        <v/>
      </c>
      <c r="AX238" s="450" t="str">
        <f t="shared" si="110"/>
        <v/>
      </c>
      <c r="AY238" s="450" t="str">
        <f t="shared" si="111"/>
        <v/>
      </c>
      <c r="AZ238" s="450" t="str">
        <f t="shared" si="112"/>
        <v/>
      </c>
      <c r="BA238" s="450" t="str">
        <f t="shared" si="113"/>
        <v/>
      </c>
      <c r="BB238" s="450" t="str">
        <f t="shared" si="114"/>
        <v/>
      </c>
      <c r="BC238" s="450" t="str">
        <f t="shared" si="115"/>
        <v/>
      </c>
      <c r="BD238" s="450" t="str">
        <f t="shared" si="115"/>
        <v/>
      </c>
      <c r="BE238" s="450" t="str">
        <f t="shared" si="115"/>
        <v/>
      </c>
      <c r="BF238" s="450" t="str">
        <f t="shared" si="115"/>
        <v/>
      </c>
      <c r="BG238" s="450"/>
      <c r="BH238" s="450" t="str">
        <f t="shared" si="116"/>
        <v/>
      </c>
      <c r="BI238" s="450" t="str">
        <f t="shared" si="117"/>
        <v/>
      </c>
      <c r="BJ238" s="450" t="str">
        <f t="shared" si="118"/>
        <v/>
      </c>
      <c r="BK238" s="450" t="str">
        <f t="shared" si="119"/>
        <v/>
      </c>
      <c r="BL238" s="450" t="str">
        <f t="shared" si="120"/>
        <v/>
      </c>
      <c r="BM238" s="450" t="str">
        <f t="shared" si="121"/>
        <v/>
      </c>
      <c r="BP238" s="519" t="s">
        <v>944</v>
      </c>
      <c r="BQ238" s="519"/>
      <c r="BR238" s="519"/>
      <c r="BS238" s="519"/>
      <c r="BT238" s="519"/>
      <c r="BU238" s="519"/>
      <c r="BV238" s="519"/>
      <c r="BW238" s="515" t="s">
        <v>2902</v>
      </c>
      <c r="BX238" s="515" t="s">
        <v>2902</v>
      </c>
      <c r="BY238" s="515" t="s">
        <v>2902</v>
      </c>
      <c r="BZ238" s="515" t="s">
        <v>2902</v>
      </c>
      <c r="CA238" s="501"/>
      <c r="CB238" s="515" t="s">
        <v>2903</v>
      </c>
      <c r="CC238" s="519"/>
      <c r="CD238" s="519"/>
      <c r="CE238" s="519"/>
      <c r="CF238" s="519"/>
      <c r="CG238" s="519"/>
      <c r="CH238" s="519"/>
      <c r="CI238" s="519"/>
      <c r="CJ238" s="519"/>
      <c r="CK238" s="519"/>
      <c r="CL238" s="498">
        <v>1</v>
      </c>
      <c r="CM238" s="519" t="s">
        <v>944</v>
      </c>
      <c r="CN238" s="519"/>
      <c r="CO238" s="519"/>
      <c r="CP238" s="519"/>
      <c r="CQ238" s="519"/>
      <c r="CR238" s="519"/>
      <c r="CS238" s="519"/>
      <c r="CT238" s="515" t="s">
        <v>2906</v>
      </c>
      <c r="CU238" s="515" t="s">
        <v>2906</v>
      </c>
      <c r="CV238" s="515" t="s">
        <v>2906</v>
      </c>
      <c r="CW238" s="515" t="s">
        <v>2906</v>
      </c>
      <c r="CX238" s="501"/>
      <c r="CY238" s="515" t="s">
        <v>2907</v>
      </c>
      <c r="CZ238" s="519"/>
      <c r="DA238" s="519"/>
      <c r="DB238" s="519"/>
      <c r="DC238" s="519"/>
      <c r="DD238" s="519"/>
      <c r="DE238" s="519"/>
      <c r="DF238" s="519"/>
      <c r="DG238" s="519"/>
      <c r="DH238" s="519"/>
      <c r="DJ238" s="519" t="s">
        <v>944</v>
      </c>
      <c r="DK238" s="519"/>
      <c r="DL238" s="519"/>
      <c r="DM238" s="519"/>
      <c r="DN238" s="519"/>
      <c r="DO238" s="519"/>
      <c r="DP238" s="519"/>
      <c r="DQ238" s="515">
        <v>2</v>
      </c>
      <c r="DR238" s="515">
        <v>2</v>
      </c>
      <c r="DS238" s="515">
        <v>2</v>
      </c>
      <c r="DT238" s="515">
        <v>2</v>
      </c>
      <c r="DU238" s="501"/>
      <c r="DV238" s="515">
        <v>2</v>
      </c>
      <c r="DW238" s="519"/>
      <c r="DX238" s="519"/>
      <c r="DY238" s="519"/>
      <c r="DZ238" s="519"/>
      <c r="EA238" s="519"/>
      <c r="EB238" s="519"/>
      <c r="EC238" s="519"/>
      <c r="ED238" s="519"/>
      <c r="EE238" s="519"/>
      <c r="EF238" s="449">
        <v>2</v>
      </c>
    </row>
    <row r="239" spans="1:136" x14ac:dyDescent="0.2">
      <c r="A239" s="8"/>
      <c r="B239" s="8"/>
      <c r="C239" s="8"/>
      <c r="D239" s="8"/>
      <c r="E239" s="8"/>
      <c r="F239" s="8"/>
      <c r="G239" s="8"/>
      <c r="H239" s="8"/>
      <c r="I239" s="8"/>
      <c r="J239" s="8"/>
      <c r="K239" s="8"/>
      <c r="L239" s="528"/>
      <c r="M239" s="528"/>
      <c r="N239" s="448"/>
      <c r="O239" s="115"/>
      <c r="P239" s="115"/>
      <c r="Q239" s="115"/>
      <c r="R239" s="115"/>
      <c r="S239" s="115"/>
      <c r="T239" s="115"/>
      <c r="U239" s="501" t="s">
        <v>948</v>
      </c>
      <c r="V239" s="501"/>
      <c r="W239" s="501"/>
      <c r="X239" s="501"/>
      <c r="Y239" s="501"/>
      <c r="Z239" s="501"/>
      <c r="AA239" s="501"/>
      <c r="AB239" s="501"/>
      <c r="AC239" s="501"/>
      <c r="AD239" s="501"/>
      <c r="AE239" s="501"/>
      <c r="AF239" s="501"/>
      <c r="AG239" s="501"/>
      <c r="AH239" s="501"/>
      <c r="AI239" s="501"/>
      <c r="AJ239" s="501"/>
      <c r="AK239" s="501"/>
      <c r="AL239" s="501"/>
      <c r="AM239" s="515"/>
      <c r="AN239" s="501"/>
      <c r="AO239" s="501"/>
      <c r="AP239" s="501"/>
      <c r="AQ239" s="35">
        <f t="shared" si="103"/>
        <v>0</v>
      </c>
      <c r="AR239" s="450" t="str">
        <f t="shared" si="104"/>
        <v/>
      </c>
      <c r="AS239" s="450" t="str">
        <f t="shared" si="105"/>
        <v/>
      </c>
      <c r="AT239" s="450" t="str">
        <f t="shared" si="106"/>
        <v/>
      </c>
      <c r="AU239" s="450" t="str">
        <f t="shared" si="107"/>
        <v/>
      </c>
      <c r="AV239" s="450" t="str">
        <f t="shared" si="108"/>
        <v/>
      </c>
      <c r="AW239" s="450" t="str">
        <f t="shared" si="109"/>
        <v/>
      </c>
      <c r="AX239" s="450" t="str">
        <f t="shared" si="110"/>
        <v/>
      </c>
      <c r="AY239" s="450" t="str">
        <f t="shared" si="111"/>
        <v/>
      </c>
      <c r="AZ239" s="450" t="str">
        <f t="shared" si="112"/>
        <v/>
      </c>
      <c r="BA239" s="450" t="str">
        <f t="shared" si="113"/>
        <v/>
      </c>
      <c r="BB239" s="450" t="str">
        <f t="shared" si="114"/>
        <v/>
      </c>
      <c r="BC239" s="450" t="str">
        <f t="shared" si="115"/>
        <v/>
      </c>
      <c r="BD239" s="450" t="str">
        <f t="shared" si="115"/>
        <v/>
      </c>
      <c r="BE239" s="450" t="str">
        <f t="shared" si="115"/>
        <v/>
      </c>
      <c r="BF239" s="450" t="str">
        <f t="shared" si="115"/>
        <v/>
      </c>
      <c r="BG239" s="450"/>
      <c r="BH239" s="450" t="str">
        <f>IF($AQ239=0,"",IF(AND(BH$225=1,AK239&gt;0),AK239,""))</f>
        <v/>
      </c>
      <c r="BI239" s="450" t="str">
        <f t="shared" ref="BI239:BI250" si="123">IF($AQ239=0,"",IF(AND(BI$225=1,AL239&gt;0),AL239,""))</f>
        <v/>
      </c>
      <c r="BJ239" s="450" t="str">
        <f t="shared" ref="BJ239:BJ250" si="124">IF($AQ239=0,"",IF(AND(BJ$225=1,AM239&gt;0),AM239,""))</f>
        <v/>
      </c>
      <c r="BK239" s="450" t="str">
        <f t="shared" ref="BK239:BK250" si="125">IF($AQ239=0,"",IF(AND(BK$225=1,AN239&gt;0),AN239,""))</f>
        <v/>
      </c>
      <c r="BL239" s="450" t="str">
        <f t="shared" ref="BL239:BL250" si="126">IF($AQ239=0,"",IF(AND(BL$225=1,AO239&gt;0),AO239,""))</f>
        <v/>
      </c>
      <c r="BM239" s="450" t="str">
        <f t="shared" ref="BM239:BM250" si="127">IF($AQ239=0,"",IF(AND(BM$225=1,AP239&gt;0),AP239,""))</f>
        <v/>
      </c>
      <c r="BP239" s="519" t="s">
        <v>945</v>
      </c>
      <c r="BQ239" s="519"/>
      <c r="BR239" s="519"/>
      <c r="BS239" s="519"/>
      <c r="BT239" s="519"/>
      <c r="BU239" s="519"/>
      <c r="BV239" s="519"/>
      <c r="BW239" s="519"/>
      <c r="BX239" s="519"/>
      <c r="BY239" s="519"/>
      <c r="BZ239" s="519"/>
      <c r="CA239" s="519"/>
      <c r="CB239" s="515" t="s">
        <v>2903</v>
      </c>
      <c r="CC239" s="515" t="s">
        <v>2903</v>
      </c>
      <c r="CD239" s="501"/>
      <c r="CE239" s="501"/>
      <c r="CF239" s="519"/>
      <c r="CG239" s="519"/>
      <c r="CH239" s="519"/>
      <c r="CI239" s="519"/>
      <c r="CJ239" s="519"/>
      <c r="CK239" s="519"/>
      <c r="CL239" s="498">
        <v>1</v>
      </c>
      <c r="CM239" s="519"/>
      <c r="CN239" s="519"/>
      <c r="CO239" s="519"/>
      <c r="CP239" s="519"/>
      <c r="CQ239" s="519"/>
      <c r="CR239" s="519"/>
      <c r="CS239" s="519"/>
      <c r="CT239" s="519"/>
      <c r="CU239" s="519"/>
      <c r="CV239" s="519"/>
      <c r="CW239" s="519"/>
      <c r="CX239" s="519"/>
      <c r="CY239" s="515"/>
      <c r="CZ239" s="515"/>
      <c r="DA239" s="501"/>
      <c r="DB239" s="501"/>
      <c r="DC239" s="519"/>
      <c r="DD239" s="519"/>
      <c r="DE239" s="519"/>
      <c r="DF239" s="519"/>
      <c r="DG239" s="519"/>
      <c r="DH239" s="519"/>
      <c r="DJ239" s="519" t="s">
        <v>945</v>
      </c>
      <c r="DK239" s="519"/>
      <c r="DL239" s="519"/>
      <c r="DM239" s="519"/>
      <c r="DN239" s="519"/>
      <c r="DO239" s="519"/>
      <c r="DP239" s="519"/>
      <c r="DQ239" s="519"/>
      <c r="DR239" s="519"/>
      <c r="DS239" s="519"/>
      <c r="DT239" s="519"/>
      <c r="DU239" s="519"/>
      <c r="DV239" s="515">
        <v>2</v>
      </c>
      <c r="DW239" s="515">
        <v>2</v>
      </c>
      <c r="DX239" s="501"/>
      <c r="DY239" s="501"/>
      <c r="DZ239" s="519"/>
      <c r="EA239" s="519"/>
      <c r="EB239" s="519"/>
      <c r="EC239" s="519"/>
      <c r="ED239" s="519"/>
      <c r="EE239" s="519"/>
      <c r="EF239" s="449">
        <v>2</v>
      </c>
    </row>
    <row r="240" spans="1:136" x14ac:dyDescent="0.2">
      <c r="A240" s="8"/>
      <c r="B240" s="8"/>
      <c r="C240" s="8"/>
      <c r="D240" s="8"/>
      <c r="E240" s="8"/>
      <c r="F240" s="8"/>
      <c r="G240" s="8"/>
      <c r="H240" s="8"/>
      <c r="I240" s="8"/>
      <c r="J240" s="8"/>
      <c r="K240" s="8"/>
      <c r="L240" s="528"/>
      <c r="M240" s="528"/>
      <c r="N240" s="448"/>
      <c r="O240" s="115"/>
      <c r="P240" s="115"/>
      <c r="Q240" s="115"/>
      <c r="R240" s="115"/>
      <c r="S240" s="115"/>
      <c r="T240" s="115"/>
      <c r="U240" s="501" t="s">
        <v>950</v>
      </c>
      <c r="V240" s="501"/>
      <c r="W240" s="501"/>
      <c r="X240" s="501"/>
      <c r="Y240" s="501"/>
      <c r="Z240" s="501"/>
      <c r="AA240" s="501"/>
      <c r="AB240" s="501"/>
      <c r="AC240" s="501"/>
      <c r="AD240" s="501"/>
      <c r="AE240" s="501"/>
      <c r="AF240" s="501"/>
      <c r="AG240" s="501"/>
      <c r="AH240" s="501"/>
      <c r="AI240" s="501"/>
      <c r="AJ240" s="501"/>
      <c r="AK240" s="501"/>
      <c r="AL240" s="501"/>
      <c r="AM240" s="501"/>
      <c r="AN240" s="501"/>
      <c r="AO240" s="501"/>
      <c r="AP240" s="501"/>
      <c r="AQ240" s="35">
        <f t="shared" si="103"/>
        <v>0</v>
      </c>
      <c r="AR240" s="450" t="str">
        <f t="shared" si="104"/>
        <v/>
      </c>
      <c r="AS240" s="450" t="str">
        <f t="shared" si="105"/>
        <v/>
      </c>
      <c r="AT240" s="450" t="str">
        <f t="shared" si="106"/>
        <v/>
      </c>
      <c r="AU240" s="450" t="str">
        <f t="shared" si="107"/>
        <v/>
      </c>
      <c r="AV240" s="450" t="str">
        <f t="shared" si="108"/>
        <v/>
      </c>
      <c r="AW240" s="450" t="str">
        <f t="shared" si="109"/>
        <v/>
      </c>
      <c r="AX240" s="450" t="str">
        <f t="shared" si="110"/>
        <v/>
      </c>
      <c r="AY240" s="450" t="str">
        <f t="shared" si="111"/>
        <v/>
      </c>
      <c r="AZ240" s="450" t="str">
        <f t="shared" si="112"/>
        <v/>
      </c>
      <c r="BA240" s="450" t="str">
        <f t="shared" si="113"/>
        <v/>
      </c>
      <c r="BB240" s="450" t="str">
        <f t="shared" si="114"/>
        <v/>
      </c>
      <c r="BC240" s="450" t="str">
        <f t="shared" ref="BC240:BC250" si="128">IF($AQ240=0,"",IF(AND(BC$225=1,AG240&gt;0),AG240,""))</f>
        <v/>
      </c>
      <c r="BD240" s="450" t="str">
        <f t="shared" ref="BD240:BD250" si="129">IF($AQ240=0,"",IF(AND(BD$225=1,AH240&gt;0),AH240,""))</f>
        <v/>
      </c>
      <c r="BE240" s="450" t="str">
        <f t="shared" ref="BE240:BE250" si="130">IF($AQ240=0,"",IF(AND(BE$225=1,AI240&gt;0),AI240,""))</f>
        <v/>
      </c>
      <c r="BF240" s="450" t="str">
        <f t="shared" ref="BF240:BF250" si="131">IF($AQ240=0,"",IF(AND(BF$225=1,AJ240&gt;0),AJ240,""))</f>
        <v/>
      </c>
      <c r="BG240" s="450"/>
      <c r="BH240" s="450" t="str">
        <f t="shared" ref="BH240:BH250" si="132">IF($AQ240=0,"",IF(AND(BH$225=1,AK240&gt;0),AK240,""))</f>
        <v/>
      </c>
      <c r="BI240" s="450" t="str">
        <f t="shared" si="123"/>
        <v/>
      </c>
      <c r="BJ240" s="450" t="str">
        <f t="shared" si="124"/>
        <v/>
      </c>
      <c r="BK240" s="450" t="str">
        <f t="shared" si="125"/>
        <v/>
      </c>
      <c r="BL240" s="450" t="str">
        <f t="shared" si="126"/>
        <v/>
      </c>
      <c r="BM240" s="450" t="str">
        <f t="shared" si="127"/>
        <v/>
      </c>
      <c r="BO240" s="45" t="s">
        <v>2911</v>
      </c>
      <c r="BP240" s="501" t="s">
        <v>2910</v>
      </c>
      <c r="CA240" s="45" t="s">
        <v>2904</v>
      </c>
      <c r="CB240" s="45"/>
      <c r="CC240" s="45"/>
      <c r="CD240" s="45" t="s">
        <v>2904</v>
      </c>
      <c r="CE240" s="45" t="s">
        <v>2904</v>
      </c>
      <c r="CF240" s="45" t="s">
        <v>2904</v>
      </c>
      <c r="CL240" s="498">
        <v>1</v>
      </c>
      <c r="CM240" s="501" t="s">
        <v>2910</v>
      </c>
      <c r="CN240" s="519"/>
      <c r="CO240" s="519"/>
      <c r="CP240" s="519"/>
      <c r="CQ240" s="519"/>
      <c r="CR240" s="519"/>
      <c r="CS240" s="519"/>
      <c r="CT240" s="519"/>
      <c r="CU240" s="519"/>
      <c r="CV240" s="519"/>
      <c r="CW240" s="519"/>
      <c r="CX240" s="519" t="s">
        <v>2907</v>
      </c>
      <c r="CY240" s="515" t="s">
        <v>2907</v>
      </c>
      <c r="CZ240" s="515" t="s">
        <v>2907</v>
      </c>
      <c r="DA240" s="501" t="s">
        <v>2907</v>
      </c>
      <c r="DB240" s="501" t="s">
        <v>2907</v>
      </c>
      <c r="DC240" s="519" t="s">
        <v>2907</v>
      </c>
      <c r="DD240" s="519"/>
      <c r="DE240" s="519"/>
      <c r="DF240" s="519"/>
      <c r="DG240" s="519"/>
      <c r="DH240" s="519"/>
      <c r="DJ240" s="501" t="s">
        <v>2910</v>
      </c>
      <c r="DK240" s="519"/>
      <c r="DL240" s="519"/>
      <c r="DM240" s="519"/>
      <c r="DN240" s="519"/>
      <c r="DO240" s="519"/>
      <c r="DP240" s="519"/>
      <c r="DQ240" s="519"/>
      <c r="DR240" s="519"/>
      <c r="DS240" s="519"/>
      <c r="DT240" s="519"/>
      <c r="DU240" s="519">
        <v>1</v>
      </c>
      <c r="DV240" s="515"/>
      <c r="DW240" s="515"/>
      <c r="DX240" s="501">
        <v>1</v>
      </c>
      <c r="DY240" s="501">
        <v>1</v>
      </c>
      <c r="DZ240" s="519">
        <v>1</v>
      </c>
      <c r="EA240" s="519"/>
      <c r="EB240" s="519"/>
      <c r="EC240" s="519"/>
      <c r="ED240" s="519"/>
      <c r="EE240" s="519"/>
      <c r="EF240" s="449">
        <v>1</v>
      </c>
    </row>
    <row r="241" spans="1:136" x14ac:dyDescent="0.2">
      <c r="A241" s="8"/>
      <c r="B241" s="8"/>
      <c r="C241" s="8"/>
      <c r="D241" s="8"/>
      <c r="E241" s="8"/>
      <c r="F241" s="8"/>
      <c r="G241" s="8"/>
      <c r="H241" s="8"/>
      <c r="I241" s="8"/>
      <c r="J241" s="8"/>
      <c r="K241" s="8"/>
      <c r="L241" s="528"/>
      <c r="M241" s="39"/>
      <c r="N241" s="115"/>
      <c r="O241" s="115"/>
      <c r="P241" s="115"/>
      <c r="Q241" s="115"/>
      <c r="R241" s="115"/>
      <c r="S241" s="115"/>
      <c r="T241" s="115"/>
      <c r="U241" s="501" t="s">
        <v>951</v>
      </c>
      <c r="V241" s="501"/>
      <c r="W241" s="501"/>
      <c r="X241" s="501"/>
      <c r="Y241" s="501"/>
      <c r="Z241" s="501"/>
      <c r="AA241" s="501"/>
      <c r="AB241" s="501"/>
      <c r="AC241" s="501"/>
      <c r="AD241" s="501"/>
      <c r="AE241" s="501"/>
      <c r="AF241" s="501"/>
      <c r="AG241" s="501"/>
      <c r="AH241" s="501"/>
      <c r="AI241" s="501"/>
      <c r="AJ241" s="501"/>
      <c r="AK241" s="501"/>
      <c r="AL241" s="501"/>
      <c r="AM241" s="501"/>
      <c r="AN241" s="501"/>
      <c r="AO241" s="501"/>
      <c r="AP241" s="501"/>
      <c r="AQ241" s="35">
        <f t="shared" si="103"/>
        <v>0</v>
      </c>
      <c r="AR241" s="450" t="str">
        <f t="shared" si="104"/>
        <v/>
      </c>
      <c r="AS241" s="450" t="str">
        <f t="shared" si="105"/>
        <v/>
      </c>
      <c r="AT241" s="450" t="str">
        <f t="shared" si="106"/>
        <v/>
      </c>
      <c r="AU241" s="450" t="str">
        <f t="shared" si="107"/>
        <v/>
      </c>
      <c r="AV241" s="450" t="str">
        <f t="shared" si="108"/>
        <v/>
      </c>
      <c r="AW241" s="450" t="str">
        <f t="shared" si="109"/>
        <v/>
      </c>
      <c r="AX241" s="450" t="str">
        <f t="shared" si="110"/>
        <v/>
      </c>
      <c r="AY241" s="450" t="str">
        <f t="shared" si="111"/>
        <v/>
      </c>
      <c r="AZ241" s="450" t="str">
        <f t="shared" si="112"/>
        <v/>
      </c>
      <c r="BA241" s="450" t="str">
        <f t="shared" si="113"/>
        <v/>
      </c>
      <c r="BB241" s="450" t="str">
        <f t="shared" si="114"/>
        <v/>
      </c>
      <c r="BC241" s="450" t="str">
        <f t="shared" si="128"/>
        <v/>
      </c>
      <c r="BD241" s="450" t="str">
        <f t="shared" si="129"/>
        <v/>
      </c>
      <c r="BE241" s="450" t="str">
        <f t="shared" si="130"/>
        <v/>
      </c>
      <c r="BF241" s="450" t="str">
        <f t="shared" si="131"/>
        <v/>
      </c>
      <c r="BG241" s="450"/>
      <c r="BH241" s="450" t="str">
        <f t="shared" si="132"/>
        <v/>
      </c>
      <c r="BI241" s="450" t="str">
        <f t="shared" si="123"/>
        <v/>
      </c>
      <c r="BJ241" s="450" t="str">
        <f t="shared" si="124"/>
        <v/>
      </c>
      <c r="BK241" s="450" t="str">
        <f t="shared" si="125"/>
        <v/>
      </c>
      <c r="BL241" s="450" t="str">
        <f t="shared" si="126"/>
        <v/>
      </c>
      <c r="BM241" s="450" t="str">
        <f t="shared" si="127"/>
        <v/>
      </c>
      <c r="BP241" s="519" t="s">
        <v>946</v>
      </c>
      <c r="BQ241" s="519"/>
      <c r="BR241" s="519"/>
      <c r="BS241" s="519"/>
      <c r="BT241" s="519"/>
      <c r="BU241" s="519"/>
      <c r="BV241" s="519"/>
      <c r="BW241" s="519"/>
      <c r="BX241" s="519"/>
      <c r="BY241" s="519"/>
      <c r="BZ241" s="519"/>
      <c r="CA241" s="519"/>
      <c r="CB241" s="515" t="s">
        <v>2905</v>
      </c>
      <c r="CC241" s="519"/>
      <c r="CD241" s="519"/>
      <c r="CE241" s="519"/>
      <c r="CF241" s="519"/>
      <c r="CG241" s="519"/>
      <c r="CH241" s="519"/>
      <c r="CI241" s="519"/>
      <c r="CJ241" s="519"/>
      <c r="CK241" s="519"/>
      <c r="CL241" s="498">
        <v>1</v>
      </c>
      <c r="CM241" s="519" t="s">
        <v>946</v>
      </c>
      <c r="CN241" s="519"/>
      <c r="CO241" s="519"/>
      <c r="CP241" s="519"/>
      <c r="CQ241" s="519"/>
      <c r="CR241" s="519"/>
      <c r="CS241" s="519"/>
      <c r="CT241" s="519"/>
      <c r="CU241" s="519"/>
      <c r="CV241" s="519"/>
      <c r="CW241" s="519"/>
      <c r="CX241" s="519"/>
      <c r="CY241" s="515" t="s">
        <v>2907</v>
      </c>
      <c r="CZ241" s="519"/>
      <c r="DA241" s="519"/>
      <c r="DB241" s="519"/>
      <c r="DC241" s="519"/>
      <c r="DD241" s="519"/>
      <c r="DE241" s="519"/>
      <c r="DF241" s="519"/>
      <c r="DG241" s="519"/>
      <c r="DH241" s="519"/>
      <c r="DJ241" s="519" t="s">
        <v>946</v>
      </c>
      <c r="DK241" s="519"/>
      <c r="DL241" s="519"/>
      <c r="DM241" s="519"/>
      <c r="DN241" s="519"/>
      <c r="DO241" s="519"/>
      <c r="DP241" s="519"/>
      <c r="DQ241" s="519"/>
      <c r="DR241" s="519"/>
      <c r="DS241" s="519"/>
      <c r="DT241" s="519"/>
      <c r="DU241" s="519"/>
      <c r="DV241" s="515">
        <v>4</v>
      </c>
      <c r="DW241" s="519"/>
      <c r="DX241" s="519"/>
      <c r="DY241" s="519"/>
      <c r="DZ241" s="519"/>
      <c r="EA241" s="519"/>
      <c r="EB241" s="519"/>
      <c r="EC241" s="519"/>
      <c r="ED241" s="519"/>
      <c r="EE241" s="519"/>
      <c r="EF241" s="449">
        <v>4</v>
      </c>
    </row>
    <row r="242" spans="1:136" x14ac:dyDescent="0.2">
      <c r="A242" s="8"/>
      <c r="B242" s="8"/>
      <c r="C242" s="8"/>
      <c r="D242" s="8"/>
      <c r="E242" s="8"/>
      <c r="F242" s="8"/>
      <c r="G242" s="8"/>
      <c r="H242" s="8"/>
      <c r="I242" s="8"/>
      <c r="J242" s="8"/>
      <c r="K242" s="8"/>
      <c r="L242" s="528"/>
      <c r="M242" s="39"/>
      <c r="N242" s="115"/>
      <c r="O242" s="115"/>
      <c r="P242" s="115"/>
      <c r="Q242" s="115"/>
      <c r="R242" s="115"/>
      <c r="S242" s="115"/>
      <c r="T242" s="115"/>
      <c r="U242" s="501" t="s">
        <v>952</v>
      </c>
      <c r="V242" s="501"/>
      <c r="W242" s="501"/>
      <c r="X242" s="501"/>
      <c r="Y242" s="501"/>
      <c r="Z242" s="501"/>
      <c r="AA242" s="501"/>
      <c r="AB242" s="501"/>
      <c r="AC242" s="501"/>
      <c r="AD242" s="501"/>
      <c r="AE242" s="501"/>
      <c r="AF242" s="501"/>
      <c r="AG242" s="501"/>
      <c r="AH242" s="501"/>
      <c r="AI242" s="501"/>
      <c r="AJ242" s="501"/>
      <c r="AK242" s="501"/>
      <c r="AL242" s="501"/>
      <c r="AM242" s="501"/>
      <c r="AN242" s="501"/>
      <c r="AO242" s="501"/>
      <c r="AP242" s="501"/>
      <c r="AQ242" s="35">
        <f t="shared" si="103"/>
        <v>0</v>
      </c>
      <c r="AR242" s="450" t="str">
        <f t="shared" si="104"/>
        <v/>
      </c>
      <c r="AS242" s="450" t="str">
        <f t="shared" si="105"/>
        <v/>
      </c>
      <c r="AT242" s="450" t="str">
        <f t="shared" si="106"/>
        <v/>
      </c>
      <c r="AU242" s="450" t="str">
        <f t="shared" si="107"/>
        <v/>
      </c>
      <c r="AV242" s="450" t="str">
        <f t="shared" si="108"/>
        <v/>
      </c>
      <c r="AW242" s="450" t="str">
        <f t="shared" si="109"/>
        <v/>
      </c>
      <c r="AX242" s="450" t="str">
        <f t="shared" si="110"/>
        <v/>
      </c>
      <c r="AY242" s="450" t="str">
        <f t="shared" si="111"/>
        <v/>
      </c>
      <c r="AZ242" s="450" t="str">
        <f t="shared" si="112"/>
        <v/>
      </c>
      <c r="BA242" s="450" t="str">
        <f t="shared" si="113"/>
        <v/>
      </c>
      <c r="BB242" s="450" t="str">
        <f t="shared" si="114"/>
        <v/>
      </c>
      <c r="BC242" s="450" t="str">
        <f t="shared" si="128"/>
        <v/>
      </c>
      <c r="BD242" s="450" t="str">
        <f t="shared" si="129"/>
        <v/>
      </c>
      <c r="BE242" s="450" t="str">
        <f t="shared" si="130"/>
        <v/>
      </c>
      <c r="BF242" s="450" t="str">
        <f t="shared" si="131"/>
        <v/>
      </c>
      <c r="BG242" s="450"/>
      <c r="BH242" s="450" t="str">
        <f t="shared" si="132"/>
        <v/>
      </c>
      <c r="BI242" s="450" t="str">
        <f t="shared" si="123"/>
        <v/>
      </c>
      <c r="BJ242" s="450" t="str">
        <f t="shared" si="124"/>
        <v/>
      </c>
      <c r="BK242" s="450" t="str">
        <f t="shared" si="125"/>
        <v/>
      </c>
      <c r="BL242" s="450" t="str">
        <f t="shared" si="126"/>
        <v/>
      </c>
      <c r="BM242" s="450" t="str">
        <f t="shared" si="127"/>
        <v/>
      </c>
      <c r="BP242" s="519" t="s">
        <v>947</v>
      </c>
      <c r="BQ242" s="519"/>
      <c r="BR242" s="519"/>
      <c r="BS242" s="519"/>
      <c r="BT242" s="519"/>
      <c r="BU242" s="519"/>
      <c r="BV242" s="519"/>
      <c r="BW242" s="519"/>
      <c r="BX242" s="519"/>
      <c r="BY242" s="519"/>
      <c r="BZ242" s="519"/>
      <c r="CA242" s="519"/>
      <c r="CB242" s="515" t="s">
        <v>2905</v>
      </c>
      <c r="CC242" s="515" t="s">
        <v>2905</v>
      </c>
      <c r="CD242" s="519"/>
      <c r="CE242" s="519"/>
      <c r="CF242" s="519"/>
      <c r="CG242" s="519"/>
      <c r="CH242" s="519"/>
      <c r="CI242" s="519"/>
      <c r="CJ242" s="519"/>
      <c r="CK242" s="519"/>
      <c r="CL242" s="498">
        <v>1</v>
      </c>
      <c r="CM242" s="519" t="s">
        <v>947</v>
      </c>
      <c r="CN242" s="519"/>
      <c r="CO242" s="519"/>
      <c r="CP242" s="519"/>
      <c r="CQ242" s="519"/>
      <c r="CR242" s="519"/>
      <c r="CS242" s="519"/>
      <c r="CT242" s="519"/>
      <c r="CU242" s="519"/>
      <c r="CV242" s="519"/>
      <c r="CW242" s="519"/>
      <c r="CX242" s="519"/>
      <c r="CY242" s="515" t="s">
        <v>2907</v>
      </c>
      <c r="CZ242" s="515" t="s">
        <v>2907</v>
      </c>
      <c r="DA242" s="519"/>
      <c r="DB242" s="519"/>
      <c r="DC242" s="519"/>
      <c r="DD242" s="519"/>
      <c r="DE242" s="519"/>
      <c r="DF242" s="519"/>
      <c r="DG242" s="519"/>
      <c r="DH242" s="519"/>
      <c r="DJ242" s="519" t="s">
        <v>947</v>
      </c>
      <c r="DK242" s="519"/>
      <c r="DL242" s="519"/>
      <c r="DM242" s="519"/>
      <c r="DN242" s="519"/>
      <c r="DO242" s="519"/>
      <c r="DP242" s="519"/>
      <c r="DQ242" s="519"/>
      <c r="DR242" s="519"/>
      <c r="DS242" s="519"/>
      <c r="DT242" s="519"/>
      <c r="DU242" s="519"/>
      <c r="DV242" s="515">
        <v>4</v>
      </c>
      <c r="DW242" s="515">
        <v>4</v>
      </c>
      <c r="DX242" s="519"/>
      <c r="DY242" s="519"/>
      <c r="DZ242" s="519"/>
      <c r="EA242" s="519"/>
      <c r="EB242" s="519"/>
      <c r="EC242" s="519"/>
      <c r="ED242" s="519"/>
      <c r="EE242" s="519"/>
      <c r="EF242" s="449">
        <v>4</v>
      </c>
    </row>
    <row r="243" spans="1:136" x14ac:dyDescent="0.2">
      <c r="A243" s="8"/>
      <c r="B243" s="8"/>
      <c r="C243" s="8"/>
      <c r="D243" s="8"/>
      <c r="E243" s="8"/>
      <c r="F243" s="8"/>
      <c r="G243" s="8"/>
      <c r="H243" s="8"/>
      <c r="I243" s="8"/>
      <c r="J243" s="8"/>
      <c r="K243" s="8"/>
      <c r="L243" s="528"/>
      <c r="M243" s="39"/>
      <c r="N243" s="115"/>
      <c r="O243" s="115"/>
      <c r="P243" s="115"/>
      <c r="Q243" s="115"/>
      <c r="R243" s="115"/>
      <c r="S243" s="115"/>
      <c r="T243" s="115"/>
      <c r="U243" s="501" t="s">
        <v>953</v>
      </c>
      <c r="V243" s="501"/>
      <c r="W243" s="501"/>
      <c r="X243" s="501"/>
      <c r="Y243" s="501"/>
      <c r="Z243" s="501"/>
      <c r="AA243" s="501"/>
      <c r="AB243" s="501"/>
      <c r="AC243" s="501"/>
      <c r="AD243" s="501"/>
      <c r="AE243" s="501"/>
      <c r="AF243" s="501"/>
      <c r="AG243" s="501"/>
      <c r="AH243" s="501"/>
      <c r="AI243" s="501"/>
      <c r="AJ243" s="501"/>
      <c r="AK243" s="501"/>
      <c r="AL243" s="501"/>
      <c r="AM243" s="501"/>
      <c r="AN243" s="501"/>
      <c r="AO243" s="501"/>
      <c r="AP243" s="501"/>
      <c r="AQ243" s="35">
        <f t="shared" si="103"/>
        <v>0</v>
      </c>
      <c r="AR243" s="450" t="str">
        <f t="shared" si="104"/>
        <v/>
      </c>
      <c r="AS243" s="450" t="str">
        <f t="shared" si="105"/>
        <v/>
      </c>
      <c r="AT243" s="450" t="str">
        <f t="shared" si="106"/>
        <v/>
      </c>
      <c r="AU243" s="450" t="str">
        <f t="shared" si="107"/>
        <v/>
      </c>
      <c r="AV243" s="450" t="str">
        <f t="shared" si="108"/>
        <v/>
      </c>
      <c r="AW243" s="450" t="str">
        <f t="shared" si="109"/>
        <v/>
      </c>
      <c r="AX243" s="450" t="str">
        <f t="shared" si="110"/>
        <v/>
      </c>
      <c r="AY243" s="450" t="str">
        <f t="shared" si="111"/>
        <v/>
      </c>
      <c r="AZ243" s="450" t="str">
        <f t="shared" si="112"/>
        <v/>
      </c>
      <c r="BA243" s="450" t="str">
        <f t="shared" si="113"/>
        <v/>
      </c>
      <c r="BB243" s="450" t="str">
        <f t="shared" si="114"/>
        <v/>
      </c>
      <c r="BC243" s="450" t="str">
        <f t="shared" si="128"/>
        <v/>
      </c>
      <c r="BD243" s="450" t="str">
        <f t="shared" si="129"/>
        <v/>
      </c>
      <c r="BE243" s="450" t="str">
        <f t="shared" si="130"/>
        <v/>
      </c>
      <c r="BF243" s="450" t="str">
        <f t="shared" si="131"/>
        <v/>
      </c>
      <c r="BG243" s="450"/>
      <c r="BH243" s="450" t="str">
        <f t="shared" si="132"/>
        <v/>
      </c>
      <c r="BI243" s="450" t="str">
        <f t="shared" si="123"/>
        <v/>
      </c>
      <c r="BJ243" s="450" t="str">
        <f t="shared" si="124"/>
        <v/>
      </c>
      <c r="BK243" s="450" t="str">
        <f t="shared" si="125"/>
        <v/>
      </c>
      <c r="BL243" s="450" t="str">
        <f t="shared" si="126"/>
        <v/>
      </c>
      <c r="BM243" s="450" t="str">
        <f t="shared" si="127"/>
        <v/>
      </c>
      <c r="BP243" s="519" t="s">
        <v>948</v>
      </c>
      <c r="BQ243" s="519"/>
      <c r="BR243" s="519"/>
      <c r="BS243" s="519"/>
      <c r="BT243" s="519"/>
      <c r="BU243" s="519"/>
      <c r="BV243" s="519"/>
      <c r="BW243" s="519"/>
      <c r="BX243" s="519"/>
      <c r="BY243" s="519"/>
      <c r="BZ243" s="519"/>
      <c r="CA243" s="519"/>
      <c r="CB243" s="519"/>
      <c r="CC243" s="524"/>
      <c r="CD243" s="519"/>
      <c r="CE243" s="519"/>
      <c r="CF243" s="519"/>
      <c r="CG243" s="519"/>
      <c r="CH243" s="519"/>
      <c r="CI243" s="519"/>
      <c r="CJ243" s="519"/>
      <c r="CK243" s="519"/>
      <c r="CL243" s="498"/>
      <c r="CM243" s="519" t="s">
        <v>948</v>
      </c>
      <c r="CN243" s="519"/>
      <c r="CO243" s="519"/>
      <c r="CP243" s="519"/>
      <c r="CQ243" s="519"/>
      <c r="CR243" s="519"/>
      <c r="CS243" s="519"/>
      <c r="CT243" s="519"/>
      <c r="CU243" s="519"/>
      <c r="CV243" s="519"/>
      <c r="CW243" s="519"/>
      <c r="CX243" s="519"/>
      <c r="CY243" s="519"/>
      <c r="CZ243" s="524"/>
      <c r="DA243" s="519"/>
      <c r="DB243" s="519"/>
      <c r="DC243" s="519"/>
      <c r="DD243" s="519"/>
      <c r="DE243" s="519"/>
      <c r="DF243" s="519"/>
      <c r="DG243" s="519"/>
      <c r="DH243" s="519"/>
      <c r="DJ243" s="519" t="s">
        <v>948</v>
      </c>
      <c r="DK243" s="519"/>
      <c r="DL243" s="519"/>
      <c r="DM243" s="519"/>
      <c r="DN243" s="519"/>
      <c r="DO243" s="519"/>
      <c r="DP243" s="519"/>
      <c r="DQ243" s="519"/>
      <c r="DR243" s="519"/>
      <c r="DS243" s="519"/>
      <c r="DT243" s="519"/>
      <c r="DU243" s="519"/>
      <c r="DV243" s="519"/>
      <c r="DW243" s="524"/>
      <c r="DX243" s="519"/>
      <c r="DY243" s="519"/>
      <c r="DZ243" s="519"/>
      <c r="EA243" s="519"/>
      <c r="EB243" s="519"/>
      <c r="EC243" s="519"/>
      <c r="ED243" s="519"/>
      <c r="EE243" s="519"/>
    </row>
    <row r="244" spans="1:136" x14ac:dyDescent="0.2">
      <c r="A244" s="8"/>
      <c r="B244" s="8"/>
      <c r="C244" s="8"/>
      <c r="D244" s="8"/>
      <c r="E244" s="8"/>
      <c r="F244" s="8"/>
      <c r="G244" s="8"/>
      <c r="H244" s="8"/>
      <c r="I244" s="8"/>
      <c r="J244" s="8"/>
      <c r="K244" s="8"/>
      <c r="L244" s="528"/>
      <c r="M244" s="39"/>
      <c r="N244" s="115"/>
      <c r="O244" s="115"/>
      <c r="P244" s="115"/>
      <c r="Q244" s="115"/>
      <c r="R244" s="115"/>
      <c r="S244" s="115"/>
      <c r="T244" s="115"/>
      <c r="U244" s="501" t="s">
        <v>954</v>
      </c>
      <c r="V244" s="501"/>
      <c r="W244" s="501"/>
      <c r="X244" s="501"/>
      <c r="Y244" s="501"/>
      <c r="Z244" s="501"/>
      <c r="AA244" s="501"/>
      <c r="AB244" s="501"/>
      <c r="AC244" s="501"/>
      <c r="AD244" s="501"/>
      <c r="AE244" s="501"/>
      <c r="AF244" s="501"/>
      <c r="AG244" s="501"/>
      <c r="AH244" s="501"/>
      <c r="AI244" s="501"/>
      <c r="AJ244" s="501"/>
      <c r="AK244" s="501"/>
      <c r="AL244" s="501"/>
      <c r="AM244" s="501"/>
      <c r="AN244" s="501"/>
      <c r="AO244" s="501"/>
      <c r="AP244" s="501"/>
      <c r="AQ244" s="35">
        <f t="shared" si="103"/>
        <v>0</v>
      </c>
      <c r="AR244" s="450" t="str">
        <f t="shared" si="104"/>
        <v/>
      </c>
      <c r="AS244" s="450" t="str">
        <f t="shared" si="105"/>
        <v/>
      </c>
      <c r="AT244" s="450" t="str">
        <f t="shared" si="106"/>
        <v/>
      </c>
      <c r="AU244" s="450" t="str">
        <f t="shared" si="107"/>
        <v/>
      </c>
      <c r="AV244" s="450" t="str">
        <f t="shared" si="108"/>
        <v/>
      </c>
      <c r="AW244" s="450" t="str">
        <f t="shared" si="109"/>
        <v/>
      </c>
      <c r="AX244" s="450" t="str">
        <f t="shared" si="110"/>
        <v/>
      </c>
      <c r="AY244" s="450" t="str">
        <f t="shared" si="111"/>
        <v/>
      </c>
      <c r="AZ244" s="450" t="str">
        <f t="shared" si="112"/>
        <v/>
      </c>
      <c r="BA244" s="450" t="str">
        <f t="shared" si="113"/>
        <v/>
      </c>
      <c r="BB244" s="450" t="str">
        <f t="shared" si="114"/>
        <v/>
      </c>
      <c r="BC244" s="450" t="str">
        <f t="shared" si="128"/>
        <v/>
      </c>
      <c r="BD244" s="450" t="str">
        <f t="shared" si="129"/>
        <v/>
      </c>
      <c r="BE244" s="450" t="str">
        <f t="shared" si="130"/>
        <v/>
      </c>
      <c r="BF244" s="450" t="str">
        <f t="shared" si="131"/>
        <v/>
      </c>
      <c r="BG244" s="450"/>
      <c r="BH244" s="450" t="str">
        <f t="shared" si="132"/>
        <v/>
      </c>
      <c r="BI244" s="450" t="str">
        <f t="shared" si="123"/>
        <v/>
      </c>
      <c r="BJ244" s="450" t="str">
        <f t="shared" si="124"/>
        <v/>
      </c>
      <c r="BK244" s="450" t="str">
        <f t="shared" si="125"/>
        <v/>
      </c>
      <c r="BL244" s="450" t="str">
        <f t="shared" si="126"/>
        <v/>
      </c>
      <c r="BM244" s="450" t="str">
        <f t="shared" si="127"/>
        <v/>
      </c>
      <c r="BP244" s="519" t="s">
        <v>950</v>
      </c>
      <c r="BQ244" s="519"/>
      <c r="BR244" s="519"/>
      <c r="BS244" s="519"/>
      <c r="BT244" s="519"/>
      <c r="BU244" s="519"/>
      <c r="BV244" s="519"/>
      <c r="BW244" s="519"/>
      <c r="BX244" s="519"/>
      <c r="BY244" s="519"/>
      <c r="BZ244" s="519"/>
      <c r="CA244" s="519"/>
      <c r="CB244" s="519"/>
      <c r="CC244" s="519"/>
      <c r="CD244" s="519"/>
      <c r="CE244" s="519"/>
      <c r="CF244" s="519"/>
      <c r="CG244" s="519"/>
      <c r="CH244" s="519"/>
      <c r="CI244" s="519"/>
      <c r="CJ244" s="519"/>
      <c r="CK244" s="519"/>
      <c r="CL244" s="498"/>
      <c r="CM244" s="519" t="s">
        <v>950</v>
      </c>
      <c r="CN244" s="519"/>
      <c r="CO244" s="519"/>
      <c r="CP244" s="519"/>
      <c r="CQ244" s="519"/>
      <c r="CR244" s="519"/>
      <c r="CS244" s="519"/>
      <c r="CT244" s="519"/>
      <c r="CU244" s="519"/>
      <c r="CV244" s="519"/>
      <c r="CW244" s="519"/>
      <c r="CX244" s="519"/>
      <c r="CY244" s="519"/>
      <c r="CZ244" s="519"/>
      <c r="DA244" s="519"/>
      <c r="DB244" s="519"/>
      <c r="DC244" s="519"/>
      <c r="DD244" s="519"/>
      <c r="DE244" s="519"/>
      <c r="DF244" s="519"/>
      <c r="DG244" s="519"/>
      <c r="DH244" s="519"/>
      <c r="DJ244" s="519" t="s">
        <v>950</v>
      </c>
      <c r="DK244" s="519"/>
      <c r="DL244" s="519"/>
      <c r="DM244" s="519"/>
      <c r="DN244" s="519"/>
      <c r="DO244" s="519"/>
      <c r="DP244" s="519"/>
      <c r="DQ244" s="519"/>
      <c r="DR244" s="519"/>
      <c r="DS244" s="519"/>
      <c r="DT244" s="519"/>
      <c r="DU244" s="519"/>
      <c r="DV244" s="519"/>
      <c r="DW244" s="519"/>
      <c r="DX244" s="519"/>
      <c r="DY244" s="519"/>
      <c r="DZ244" s="519"/>
      <c r="EA244" s="519"/>
      <c r="EB244" s="519"/>
      <c r="EC244" s="519"/>
      <c r="ED244" s="519"/>
      <c r="EE244" s="519"/>
    </row>
    <row r="245" spans="1:136" x14ac:dyDescent="0.2">
      <c r="A245" s="8"/>
      <c r="B245" s="8"/>
      <c r="C245" s="8"/>
      <c r="D245" s="8"/>
      <c r="E245" s="8"/>
      <c r="F245" s="8"/>
      <c r="G245" s="8"/>
      <c r="H245" s="8"/>
      <c r="I245" s="8"/>
      <c r="J245" s="8"/>
      <c r="K245" s="8"/>
      <c r="L245" s="528"/>
      <c r="M245" s="39"/>
      <c r="N245" s="115"/>
      <c r="O245" s="115"/>
      <c r="P245" s="115"/>
      <c r="Q245" s="115"/>
      <c r="R245" s="115"/>
      <c r="S245" s="115"/>
      <c r="T245" s="115"/>
      <c r="U245" s="501" t="s">
        <v>955</v>
      </c>
      <c r="V245" s="501"/>
      <c r="W245" s="501"/>
      <c r="X245" s="501"/>
      <c r="Y245" s="501"/>
      <c r="Z245" s="501"/>
      <c r="AA245" s="501"/>
      <c r="AB245" s="501"/>
      <c r="AC245" s="501"/>
      <c r="AD245" s="501"/>
      <c r="AE245" s="501"/>
      <c r="AF245" s="501"/>
      <c r="AG245" s="501"/>
      <c r="AH245" s="501"/>
      <c r="AI245" s="501"/>
      <c r="AJ245" s="501"/>
      <c r="AK245" s="501"/>
      <c r="AL245" s="501"/>
      <c r="AM245" s="501"/>
      <c r="AN245" s="501"/>
      <c r="AO245" s="501"/>
      <c r="AP245" s="501"/>
      <c r="AQ245" s="35">
        <f t="shared" si="103"/>
        <v>0</v>
      </c>
      <c r="AR245" s="450" t="str">
        <f t="shared" si="104"/>
        <v/>
      </c>
      <c r="AS245" s="450" t="str">
        <f t="shared" si="105"/>
        <v/>
      </c>
      <c r="AT245" s="450" t="str">
        <f t="shared" si="106"/>
        <v/>
      </c>
      <c r="AU245" s="450" t="str">
        <f t="shared" si="107"/>
        <v/>
      </c>
      <c r="AV245" s="450" t="str">
        <f t="shared" si="108"/>
        <v/>
      </c>
      <c r="AW245" s="450" t="str">
        <f t="shared" si="109"/>
        <v/>
      </c>
      <c r="AX245" s="450" t="str">
        <f t="shared" si="110"/>
        <v/>
      </c>
      <c r="AY245" s="450" t="str">
        <f t="shared" si="111"/>
        <v/>
      </c>
      <c r="AZ245" s="450" t="str">
        <f t="shared" si="112"/>
        <v/>
      </c>
      <c r="BA245" s="450" t="str">
        <f t="shared" si="113"/>
        <v/>
      </c>
      <c r="BB245" s="450" t="str">
        <f t="shared" si="114"/>
        <v/>
      </c>
      <c r="BC245" s="450" t="str">
        <f t="shared" si="128"/>
        <v/>
      </c>
      <c r="BD245" s="450" t="str">
        <f t="shared" si="129"/>
        <v/>
      </c>
      <c r="BE245" s="450" t="str">
        <f t="shared" si="130"/>
        <v/>
      </c>
      <c r="BF245" s="450" t="str">
        <f t="shared" si="131"/>
        <v/>
      </c>
      <c r="BG245" s="450"/>
      <c r="BH245" s="450" t="str">
        <f t="shared" si="132"/>
        <v/>
      </c>
      <c r="BI245" s="450" t="str">
        <f t="shared" si="123"/>
        <v/>
      </c>
      <c r="BJ245" s="450" t="str">
        <f t="shared" si="124"/>
        <v/>
      </c>
      <c r="BK245" s="450" t="str">
        <f t="shared" si="125"/>
        <v/>
      </c>
      <c r="BL245" s="450" t="str">
        <f t="shared" si="126"/>
        <v/>
      </c>
      <c r="BM245" s="450" t="str">
        <f t="shared" si="127"/>
        <v/>
      </c>
      <c r="BP245" s="519" t="s">
        <v>951</v>
      </c>
      <c r="BQ245" s="519"/>
      <c r="BR245" s="519"/>
      <c r="BS245" s="519"/>
      <c r="BT245" s="519"/>
      <c r="BU245" s="519"/>
      <c r="BV245" s="519"/>
      <c r="BW245" s="519"/>
      <c r="BX245" s="519"/>
      <c r="BY245" s="519"/>
      <c r="BZ245" s="519"/>
      <c r="CA245" s="519"/>
      <c r="CB245" s="519"/>
      <c r="CC245" s="519"/>
      <c r="CD245" s="519"/>
      <c r="CE245" s="519"/>
      <c r="CF245" s="519"/>
      <c r="CG245" s="519"/>
      <c r="CH245" s="519"/>
      <c r="CI245" s="519"/>
      <c r="CJ245" s="519"/>
      <c r="CK245" s="519"/>
      <c r="CL245" s="498"/>
      <c r="CM245" s="519" t="s">
        <v>951</v>
      </c>
      <c r="CN245" s="519"/>
      <c r="CO245" s="519"/>
      <c r="CP245" s="519"/>
      <c r="CQ245" s="519"/>
      <c r="CR245" s="519"/>
      <c r="CS245" s="519"/>
      <c r="CT245" s="519"/>
      <c r="CU245" s="519"/>
      <c r="CV245" s="519"/>
      <c r="CW245" s="519"/>
      <c r="CX245" s="519"/>
      <c r="CY245" s="519"/>
      <c r="CZ245" s="519"/>
      <c r="DA245" s="519"/>
      <c r="DB245" s="519"/>
      <c r="DC245" s="519"/>
      <c r="DD245" s="519"/>
      <c r="DE245" s="519"/>
      <c r="DF245" s="519"/>
      <c r="DG245" s="519"/>
      <c r="DH245" s="519"/>
      <c r="DJ245" s="519" t="s">
        <v>951</v>
      </c>
      <c r="DK245" s="519"/>
      <c r="DL245" s="519"/>
      <c r="DM245" s="519"/>
      <c r="DN245" s="519"/>
      <c r="DO245" s="519"/>
      <c r="DP245" s="519"/>
      <c r="DQ245" s="519"/>
      <c r="DR245" s="519"/>
      <c r="DS245" s="519"/>
      <c r="DT245" s="519"/>
      <c r="DU245" s="519"/>
      <c r="DV245" s="519"/>
      <c r="DW245" s="519"/>
      <c r="DX245" s="519"/>
      <c r="DY245" s="519"/>
      <c r="DZ245" s="519"/>
      <c r="EA245" s="519"/>
      <c r="EB245" s="519"/>
      <c r="EC245" s="519"/>
      <c r="ED245" s="519"/>
      <c r="EE245" s="519"/>
    </row>
    <row r="246" spans="1:136" x14ac:dyDescent="0.2">
      <c r="A246" s="8"/>
      <c r="B246" s="8"/>
      <c r="C246" s="8"/>
      <c r="D246" s="8"/>
      <c r="E246" s="8"/>
      <c r="F246" s="8"/>
      <c r="G246" s="8"/>
      <c r="H246" s="8"/>
      <c r="I246" s="8"/>
      <c r="J246" s="8"/>
      <c r="K246" s="8"/>
      <c r="L246" s="528"/>
      <c r="M246" s="39"/>
      <c r="N246" s="115"/>
      <c r="O246" s="115"/>
      <c r="P246" s="115"/>
      <c r="Q246" s="115"/>
      <c r="R246" s="115"/>
      <c r="S246" s="115"/>
      <c r="T246" s="115"/>
      <c r="U246" s="501" t="s">
        <v>956</v>
      </c>
      <c r="V246" s="501"/>
      <c r="W246" s="501"/>
      <c r="X246" s="501"/>
      <c r="Y246" s="501"/>
      <c r="Z246" s="501"/>
      <c r="AA246" s="501"/>
      <c r="AB246" s="501"/>
      <c r="AC246" s="501"/>
      <c r="AD246" s="501"/>
      <c r="AE246" s="501"/>
      <c r="AF246" s="501"/>
      <c r="AG246" s="501"/>
      <c r="AH246" s="501"/>
      <c r="AI246" s="501"/>
      <c r="AJ246" s="501"/>
      <c r="AK246" s="501"/>
      <c r="AL246" s="515">
        <v>2</v>
      </c>
      <c r="AM246" s="501"/>
      <c r="AN246" s="501"/>
      <c r="AO246" s="501"/>
      <c r="AP246" s="501"/>
      <c r="AQ246" s="35">
        <f t="shared" si="103"/>
        <v>0</v>
      </c>
      <c r="AR246" s="450" t="str">
        <f t="shared" si="104"/>
        <v/>
      </c>
      <c r="AS246" s="450" t="str">
        <f t="shared" si="105"/>
        <v/>
      </c>
      <c r="AT246" s="450" t="str">
        <f t="shared" si="106"/>
        <v/>
      </c>
      <c r="AU246" s="450" t="str">
        <f t="shared" si="107"/>
        <v/>
      </c>
      <c r="AV246" s="450" t="str">
        <f t="shared" si="108"/>
        <v/>
      </c>
      <c r="AW246" s="450" t="str">
        <f t="shared" si="109"/>
        <v/>
      </c>
      <c r="AX246" s="450" t="str">
        <f t="shared" si="110"/>
        <v/>
      </c>
      <c r="AY246" s="450" t="str">
        <f t="shared" si="111"/>
        <v/>
      </c>
      <c r="AZ246" s="450" t="str">
        <f t="shared" si="112"/>
        <v/>
      </c>
      <c r="BA246" s="450" t="str">
        <f t="shared" si="113"/>
        <v/>
      </c>
      <c r="BB246" s="450" t="str">
        <f t="shared" si="114"/>
        <v/>
      </c>
      <c r="BC246" s="450" t="str">
        <f t="shared" si="128"/>
        <v/>
      </c>
      <c r="BD246" s="450" t="str">
        <f t="shared" si="129"/>
        <v/>
      </c>
      <c r="BE246" s="450" t="str">
        <f t="shared" si="130"/>
        <v/>
      </c>
      <c r="BF246" s="450" t="str">
        <f t="shared" si="131"/>
        <v/>
      </c>
      <c r="BG246" s="450"/>
      <c r="BH246" s="450" t="str">
        <f t="shared" si="132"/>
        <v/>
      </c>
      <c r="BI246" s="450" t="str">
        <f t="shared" si="123"/>
        <v/>
      </c>
      <c r="BJ246" s="450" t="str">
        <f t="shared" si="124"/>
        <v/>
      </c>
      <c r="BK246" s="450" t="str">
        <f t="shared" si="125"/>
        <v/>
      </c>
      <c r="BL246" s="450" t="str">
        <f t="shared" si="126"/>
        <v/>
      </c>
      <c r="BM246" s="450" t="str">
        <f t="shared" si="127"/>
        <v/>
      </c>
      <c r="BP246" s="519" t="s">
        <v>952</v>
      </c>
      <c r="BQ246" s="519"/>
      <c r="BR246" s="519"/>
      <c r="BS246" s="519"/>
      <c r="BT246" s="519"/>
      <c r="BU246" s="519"/>
      <c r="BV246" s="519"/>
      <c r="BW246" s="519"/>
      <c r="BX246" s="519"/>
      <c r="BY246" s="519"/>
      <c r="BZ246" s="519"/>
      <c r="CA246" s="519"/>
      <c r="CB246" s="519"/>
      <c r="CC246" s="519"/>
      <c r="CD246" s="519"/>
      <c r="CE246" s="519"/>
      <c r="CF246" s="519"/>
      <c r="CG246" s="519"/>
      <c r="CH246" s="519"/>
      <c r="CI246" s="519"/>
      <c r="CJ246" s="519"/>
      <c r="CK246" s="519"/>
      <c r="CL246" s="498"/>
      <c r="CM246" s="519" t="s">
        <v>952</v>
      </c>
      <c r="CN246" s="519"/>
      <c r="CO246" s="519"/>
      <c r="CP246" s="519"/>
      <c r="CQ246" s="519"/>
      <c r="CR246" s="519"/>
      <c r="CS246" s="519"/>
      <c r="CT246" s="519"/>
      <c r="CU246" s="519"/>
      <c r="CV246" s="519"/>
      <c r="CW246" s="519"/>
      <c r="CX246" s="519"/>
      <c r="CY246" s="519"/>
      <c r="CZ246" s="519"/>
      <c r="DA246" s="519"/>
      <c r="DB246" s="519"/>
      <c r="DC246" s="519"/>
      <c r="DD246" s="519"/>
      <c r="DE246" s="519"/>
      <c r="DF246" s="519"/>
      <c r="DG246" s="519"/>
      <c r="DH246" s="519"/>
      <c r="DJ246" s="519" t="s">
        <v>952</v>
      </c>
      <c r="DK246" s="519"/>
      <c r="DL246" s="519"/>
      <c r="DM246" s="519"/>
      <c r="DN246" s="519"/>
      <c r="DO246" s="519"/>
      <c r="DP246" s="519"/>
      <c r="DQ246" s="519"/>
      <c r="DR246" s="519"/>
      <c r="DS246" s="519"/>
      <c r="DT246" s="519"/>
      <c r="DU246" s="519"/>
      <c r="DV246" s="519"/>
      <c r="DW246" s="519"/>
      <c r="DX246" s="519"/>
      <c r="DY246" s="519"/>
      <c r="DZ246" s="519"/>
      <c r="EA246" s="519"/>
      <c r="EB246" s="519"/>
      <c r="EC246" s="519"/>
      <c r="ED246" s="519"/>
      <c r="EE246" s="519"/>
    </row>
    <row r="247" spans="1:136" x14ac:dyDescent="0.2">
      <c r="A247" s="8"/>
      <c r="B247" s="8"/>
      <c r="C247" s="8"/>
      <c r="D247" s="8"/>
      <c r="E247" s="8"/>
      <c r="F247" s="8"/>
      <c r="G247" s="8"/>
      <c r="H247" s="8"/>
      <c r="I247" s="8"/>
      <c r="J247" s="8"/>
      <c r="K247" s="8"/>
      <c r="L247" s="528"/>
      <c r="M247" s="39"/>
      <c r="N247" s="115"/>
      <c r="O247" s="115"/>
      <c r="P247" s="115"/>
      <c r="Q247" s="115"/>
      <c r="R247" s="115"/>
      <c r="S247" s="115"/>
      <c r="T247" s="115"/>
      <c r="U247" s="501" t="s">
        <v>957</v>
      </c>
      <c r="V247" s="501"/>
      <c r="W247" s="501"/>
      <c r="X247" s="501"/>
      <c r="Y247" s="501"/>
      <c r="Z247" s="501"/>
      <c r="AA247" s="501"/>
      <c r="AB247" s="501"/>
      <c r="AC247" s="501"/>
      <c r="AD247" s="501"/>
      <c r="AE247" s="501"/>
      <c r="AF247" s="501"/>
      <c r="AG247" s="501"/>
      <c r="AH247" s="501"/>
      <c r="AI247" s="501"/>
      <c r="AJ247" s="501"/>
      <c r="AK247" s="501"/>
      <c r="AL247" s="515">
        <v>4</v>
      </c>
      <c r="AM247" s="501"/>
      <c r="AN247" s="501"/>
      <c r="AO247" s="501"/>
      <c r="AP247" s="501"/>
      <c r="AQ247" s="35">
        <f t="shared" si="103"/>
        <v>0</v>
      </c>
      <c r="AR247" s="450" t="str">
        <f t="shared" si="104"/>
        <v/>
      </c>
      <c r="AS247" s="450" t="str">
        <f t="shared" si="105"/>
        <v/>
      </c>
      <c r="AT247" s="450" t="str">
        <f t="shared" si="106"/>
        <v/>
      </c>
      <c r="AU247" s="450" t="str">
        <f t="shared" si="107"/>
        <v/>
      </c>
      <c r="AV247" s="450" t="str">
        <f t="shared" si="108"/>
        <v/>
      </c>
      <c r="AW247" s="450" t="str">
        <f t="shared" si="109"/>
        <v/>
      </c>
      <c r="AX247" s="450" t="str">
        <f t="shared" si="110"/>
        <v/>
      </c>
      <c r="AY247" s="450" t="str">
        <f t="shared" si="111"/>
        <v/>
      </c>
      <c r="AZ247" s="450" t="str">
        <f t="shared" si="112"/>
        <v/>
      </c>
      <c r="BA247" s="450" t="str">
        <f t="shared" si="113"/>
        <v/>
      </c>
      <c r="BB247" s="450" t="str">
        <f t="shared" si="114"/>
        <v/>
      </c>
      <c r="BC247" s="450" t="str">
        <f t="shared" si="128"/>
        <v/>
      </c>
      <c r="BD247" s="450" t="str">
        <f t="shared" si="129"/>
        <v/>
      </c>
      <c r="BE247" s="450" t="str">
        <f t="shared" si="130"/>
        <v/>
      </c>
      <c r="BF247" s="450" t="str">
        <f t="shared" si="131"/>
        <v/>
      </c>
      <c r="BG247" s="450"/>
      <c r="BH247" s="450" t="str">
        <f t="shared" si="132"/>
        <v/>
      </c>
      <c r="BI247" s="450" t="str">
        <f t="shared" si="123"/>
        <v/>
      </c>
      <c r="BJ247" s="450" t="str">
        <f t="shared" si="124"/>
        <v/>
      </c>
      <c r="BK247" s="450" t="str">
        <f t="shared" si="125"/>
        <v/>
      </c>
      <c r="BL247" s="450" t="str">
        <f t="shared" si="126"/>
        <v/>
      </c>
      <c r="BM247" s="450" t="str">
        <f t="shared" si="127"/>
        <v/>
      </c>
      <c r="BP247" s="519" t="s">
        <v>953</v>
      </c>
      <c r="BQ247" s="519"/>
      <c r="BR247" s="519"/>
      <c r="BS247" s="519"/>
      <c r="BT247" s="519"/>
      <c r="BU247" s="519"/>
      <c r="BV247" s="519"/>
      <c r="BW247" s="519"/>
      <c r="BX247" s="519"/>
      <c r="BY247" s="519"/>
      <c r="BZ247" s="519"/>
      <c r="CA247" s="519"/>
      <c r="CB247" s="519"/>
      <c r="CC247" s="519"/>
      <c r="CD247" s="519"/>
      <c r="CE247" s="519"/>
      <c r="CF247" s="519"/>
      <c r="CG247" s="519"/>
      <c r="CH247" s="519"/>
      <c r="CI247" s="519"/>
      <c r="CJ247" s="519"/>
      <c r="CK247" s="519"/>
      <c r="CL247" s="498"/>
      <c r="CM247" s="519" t="s">
        <v>953</v>
      </c>
      <c r="CN247" s="519"/>
      <c r="CO247" s="519"/>
      <c r="CP247" s="519"/>
      <c r="CQ247" s="519"/>
      <c r="CR247" s="519"/>
      <c r="CS247" s="519"/>
      <c r="CT247" s="519"/>
      <c r="CU247" s="519"/>
      <c r="CV247" s="519"/>
      <c r="CW247" s="519"/>
      <c r="CX247" s="519"/>
      <c r="CY247" s="519"/>
      <c r="CZ247" s="519"/>
      <c r="DA247" s="519"/>
      <c r="DB247" s="519"/>
      <c r="DC247" s="519"/>
      <c r="DD247" s="519"/>
      <c r="DE247" s="519"/>
      <c r="DF247" s="519"/>
      <c r="DG247" s="519"/>
      <c r="DH247" s="519"/>
      <c r="DJ247" s="519" t="s">
        <v>953</v>
      </c>
      <c r="DK247" s="519"/>
      <c r="DL247" s="519"/>
      <c r="DM247" s="519"/>
      <c r="DN247" s="519"/>
      <c r="DO247" s="519"/>
      <c r="DP247" s="519"/>
      <c r="DQ247" s="519"/>
      <c r="DR247" s="519"/>
      <c r="DS247" s="519"/>
      <c r="DT247" s="519"/>
      <c r="DU247" s="519"/>
      <c r="DV247" s="519"/>
      <c r="DW247" s="519"/>
      <c r="DX247" s="519"/>
      <c r="DY247" s="519"/>
      <c r="DZ247" s="519"/>
      <c r="EA247" s="519"/>
      <c r="EB247" s="519"/>
      <c r="EC247" s="519"/>
      <c r="ED247" s="519"/>
      <c r="EE247" s="519"/>
    </row>
    <row r="248" spans="1:136" x14ac:dyDescent="0.2">
      <c r="A248" s="8"/>
      <c r="B248" s="8"/>
      <c r="C248" s="8"/>
      <c r="D248" s="8"/>
      <c r="E248" s="8"/>
      <c r="F248" s="8"/>
      <c r="G248" s="8"/>
      <c r="H248" s="8"/>
      <c r="I248" s="8"/>
      <c r="J248" s="8"/>
      <c r="K248" s="8"/>
      <c r="L248" s="528"/>
      <c r="M248" s="39"/>
      <c r="N248" s="115"/>
      <c r="O248" s="115"/>
      <c r="P248" s="115"/>
      <c r="Q248" s="115"/>
      <c r="R248" s="115"/>
      <c r="S248" s="115"/>
      <c r="T248" s="115"/>
      <c r="U248" s="501" t="s">
        <v>2123</v>
      </c>
      <c r="V248" s="501"/>
      <c r="W248" s="501"/>
      <c r="X248" s="501"/>
      <c r="Y248" s="501"/>
      <c r="Z248" s="501"/>
      <c r="AA248" s="501"/>
      <c r="AB248" s="501"/>
      <c r="AC248" s="501"/>
      <c r="AD248" s="501"/>
      <c r="AE248" s="501"/>
      <c r="AF248" s="501"/>
      <c r="AG248" s="501"/>
      <c r="AH248" s="501"/>
      <c r="AI248" s="501"/>
      <c r="AJ248" s="501"/>
      <c r="AK248" s="501"/>
      <c r="AL248" s="501"/>
      <c r="AM248" s="501"/>
      <c r="AN248" s="501"/>
      <c r="AO248" s="501"/>
      <c r="AP248" s="501"/>
      <c r="AQ248" s="35">
        <f t="shared" si="103"/>
        <v>0</v>
      </c>
      <c r="AR248" s="450" t="str">
        <f t="shared" si="104"/>
        <v/>
      </c>
      <c r="AS248" s="450" t="str">
        <f t="shared" si="105"/>
        <v/>
      </c>
      <c r="AT248" s="450" t="str">
        <f t="shared" si="106"/>
        <v/>
      </c>
      <c r="AU248" s="450" t="str">
        <f t="shared" si="107"/>
        <v/>
      </c>
      <c r="AV248" s="450" t="str">
        <f t="shared" si="108"/>
        <v/>
      </c>
      <c r="AW248" s="450" t="str">
        <f t="shared" si="109"/>
        <v/>
      </c>
      <c r="AX248" s="450" t="str">
        <f t="shared" si="110"/>
        <v/>
      </c>
      <c r="AY248" s="450" t="str">
        <f t="shared" si="111"/>
        <v/>
      </c>
      <c r="AZ248" s="450" t="str">
        <f t="shared" si="112"/>
        <v/>
      </c>
      <c r="BA248" s="450" t="str">
        <f t="shared" si="113"/>
        <v/>
      </c>
      <c r="BB248" s="450" t="str">
        <f t="shared" si="114"/>
        <v/>
      </c>
      <c r="BC248" s="450" t="str">
        <f t="shared" si="128"/>
        <v/>
      </c>
      <c r="BD248" s="450" t="str">
        <f t="shared" si="129"/>
        <v/>
      </c>
      <c r="BE248" s="450" t="str">
        <f t="shared" si="130"/>
        <v/>
      </c>
      <c r="BF248" s="450" t="str">
        <f t="shared" si="131"/>
        <v/>
      </c>
      <c r="BG248" s="450"/>
      <c r="BH248" s="450" t="str">
        <f t="shared" si="132"/>
        <v/>
      </c>
      <c r="BI248" s="450" t="str">
        <f t="shared" si="123"/>
        <v/>
      </c>
      <c r="BJ248" s="450" t="str">
        <f t="shared" si="124"/>
        <v/>
      </c>
      <c r="BK248" s="450" t="str">
        <f t="shared" si="125"/>
        <v/>
      </c>
      <c r="BL248" s="450" t="str">
        <f t="shared" si="126"/>
        <v/>
      </c>
      <c r="BM248" s="450" t="str">
        <f t="shared" si="127"/>
        <v/>
      </c>
      <c r="BP248" s="323" t="s">
        <v>2989</v>
      </c>
      <c r="BQ248" s="519"/>
      <c r="BR248" s="519"/>
      <c r="BS248" s="519"/>
      <c r="BT248" s="519"/>
      <c r="BU248" s="519"/>
      <c r="BV248" s="501"/>
      <c r="BW248" s="519"/>
      <c r="BX248" s="519"/>
      <c r="BY248" s="519"/>
      <c r="BZ248" s="519"/>
      <c r="CA248" s="519"/>
      <c r="CB248" s="519"/>
      <c r="CC248" s="519"/>
      <c r="CD248" s="519"/>
      <c r="CE248" s="519"/>
      <c r="CF248" s="519"/>
      <c r="CG248" s="519"/>
      <c r="CH248" s="519"/>
      <c r="CI248" s="519"/>
      <c r="CJ248" s="519"/>
      <c r="CK248" s="519"/>
      <c r="CM248" s="542" t="s">
        <v>2989</v>
      </c>
      <c r="CN248" s="519"/>
      <c r="CO248" s="519"/>
      <c r="CP248" s="519"/>
      <c r="CQ248" s="519"/>
      <c r="CR248" s="519"/>
      <c r="CS248" s="519"/>
      <c r="CT248" s="519"/>
      <c r="CU248" s="519"/>
      <c r="CV248" s="519"/>
      <c r="CW248" s="519"/>
      <c r="CX248" s="519"/>
      <c r="CY248" s="519"/>
      <c r="CZ248" s="519"/>
      <c r="DA248" s="519"/>
      <c r="DB248" s="519"/>
      <c r="DC248" s="519"/>
      <c r="DD248" s="519"/>
      <c r="DE248" s="519"/>
      <c r="DF248" s="519"/>
      <c r="DG248" s="519"/>
      <c r="DH248" s="519"/>
      <c r="DJ248" s="542" t="s">
        <v>2989</v>
      </c>
      <c r="DK248" s="519"/>
      <c r="DL248" s="519"/>
      <c r="DM248" s="519"/>
      <c r="DN248" s="519"/>
      <c r="DO248" s="519"/>
      <c r="DP248" s="519"/>
      <c r="DQ248" s="519"/>
      <c r="DR248" s="519"/>
      <c r="DS248" s="519"/>
      <c r="DT248" s="519"/>
      <c r="DU248" s="519"/>
      <c r="DV248" s="519"/>
      <c r="DW248" s="519"/>
      <c r="DX248" s="519"/>
      <c r="DY248" s="519"/>
      <c r="DZ248" s="519"/>
      <c r="EA248" s="519"/>
      <c r="EB248" s="519"/>
      <c r="EC248" s="519"/>
      <c r="ED248" s="519"/>
      <c r="EE248" s="519"/>
    </row>
    <row r="249" spans="1:136" x14ac:dyDescent="0.2">
      <c r="A249" s="8"/>
      <c r="B249" s="8"/>
      <c r="C249" s="8"/>
      <c r="D249" s="8"/>
      <c r="E249" s="8"/>
      <c r="F249" s="8"/>
      <c r="G249" s="8"/>
      <c r="H249" s="8"/>
      <c r="I249" s="8"/>
      <c r="J249" s="8"/>
      <c r="K249" s="8"/>
      <c r="L249" s="528"/>
      <c r="M249" s="39"/>
      <c r="N249" s="115"/>
      <c r="O249" s="115"/>
      <c r="P249" s="115"/>
      <c r="Q249" s="115"/>
      <c r="R249" s="115"/>
      <c r="S249" s="115"/>
      <c r="T249" s="115"/>
      <c r="U249" s="501" t="s">
        <v>2134</v>
      </c>
      <c r="V249" s="501"/>
      <c r="W249" s="501"/>
      <c r="X249" s="501"/>
      <c r="Y249" s="501"/>
      <c r="Z249" s="501"/>
      <c r="AA249" s="501"/>
      <c r="AB249" s="501"/>
      <c r="AC249" s="501"/>
      <c r="AD249" s="501"/>
      <c r="AE249" s="501"/>
      <c r="AF249" s="501"/>
      <c r="AG249" s="501"/>
      <c r="AH249" s="501"/>
      <c r="AI249" s="501"/>
      <c r="AJ249" s="501"/>
      <c r="AK249" s="501"/>
      <c r="AL249" s="515">
        <v>4</v>
      </c>
      <c r="AM249" s="515">
        <v>4</v>
      </c>
      <c r="AN249" s="501"/>
      <c r="AO249" s="501"/>
      <c r="AP249" s="501"/>
      <c r="AQ249" s="35">
        <f t="shared" si="103"/>
        <v>0</v>
      </c>
      <c r="AR249" s="450" t="str">
        <f t="shared" si="104"/>
        <v/>
      </c>
      <c r="AS249" s="450" t="str">
        <f t="shared" si="105"/>
        <v/>
      </c>
      <c r="AT249" s="450" t="str">
        <f t="shared" si="106"/>
        <v/>
      </c>
      <c r="AU249" s="450" t="str">
        <f t="shared" si="107"/>
        <v/>
      </c>
      <c r="AV249" s="450" t="str">
        <f t="shared" si="108"/>
        <v/>
      </c>
      <c r="AW249" s="450" t="str">
        <f t="shared" si="109"/>
        <v/>
      </c>
      <c r="AX249" s="450" t="str">
        <f t="shared" si="110"/>
        <v/>
      </c>
      <c r="AY249" s="450" t="str">
        <f t="shared" si="111"/>
        <v/>
      </c>
      <c r="AZ249" s="450" t="str">
        <f t="shared" si="112"/>
        <v/>
      </c>
      <c r="BA249" s="450" t="str">
        <f t="shared" si="113"/>
        <v/>
      </c>
      <c r="BB249" s="450" t="str">
        <f t="shared" si="114"/>
        <v/>
      </c>
      <c r="BC249" s="450" t="str">
        <f t="shared" si="128"/>
        <v/>
      </c>
      <c r="BD249" s="450" t="str">
        <f t="shared" si="129"/>
        <v/>
      </c>
      <c r="BE249" s="450" t="str">
        <f t="shared" si="130"/>
        <v/>
      </c>
      <c r="BF249" s="450" t="str">
        <f t="shared" si="131"/>
        <v/>
      </c>
      <c r="BG249" s="450"/>
      <c r="BH249" s="450" t="str">
        <f t="shared" si="132"/>
        <v/>
      </c>
      <c r="BI249" s="450" t="str">
        <f t="shared" si="123"/>
        <v/>
      </c>
      <c r="BJ249" s="450" t="str">
        <f t="shared" si="124"/>
        <v/>
      </c>
      <c r="BK249" s="450" t="str">
        <f t="shared" si="125"/>
        <v/>
      </c>
      <c r="BL249" s="450" t="str">
        <f t="shared" si="126"/>
        <v/>
      </c>
      <c r="BM249" s="450" t="str">
        <f t="shared" si="127"/>
        <v/>
      </c>
      <c r="BP249" s="519" t="s">
        <v>954</v>
      </c>
      <c r="BQ249" s="519"/>
      <c r="BR249" s="519"/>
      <c r="BS249" s="519"/>
      <c r="BT249" s="501" t="s">
        <v>2902</v>
      </c>
      <c r="BU249" s="501" t="s">
        <v>2902</v>
      </c>
      <c r="BV249" s="45" t="s">
        <v>2902</v>
      </c>
      <c r="BW249" s="501" t="s">
        <v>2902</v>
      </c>
      <c r="BX249" s="501" t="s">
        <v>2902</v>
      </c>
      <c r="BY249" s="501" t="s">
        <v>2902</v>
      </c>
      <c r="BZ249" s="501" t="s">
        <v>2902</v>
      </c>
      <c r="CA249" s="519"/>
      <c r="CB249" s="519"/>
      <c r="CC249" s="519"/>
      <c r="CD249" s="519"/>
      <c r="CE249" s="519"/>
      <c r="CF249" s="519"/>
      <c r="CG249" s="519"/>
      <c r="CH249" s="519"/>
      <c r="CI249" s="519"/>
      <c r="CJ249" s="519"/>
      <c r="CK249" s="519"/>
      <c r="CL249" s="498">
        <v>1</v>
      </c>
      <c r="CM249" s="519" t="s">
        <v>954</v>
      </c>
      <c r="CN249" s="519"/>
      <c r="CO249" s="519"/>
      <c r="CP249" s="519"/>
      <c r="CQ249" s="519" t="s">
        <v>2906</v>
      </c>
      <c r="CR249" s="519" t="s">
        <v>2906</v>
      </c>
      <c r="CS249" s="519" t="s">
        <v>2906</v>
      </c>
      <c r="CT249" s="519" t="s">
        <v>2906</v>
      </c>
      <c r="CU249" s="519" t="s">
        <v>2906</v>
      </c>
      <c r="CV249" s="519" t="s">
        <v>2906</v>
      </c>
      <c r="CW249" s="519" t="s">
        <v>2906</v>
      </c>
      <c r="CX249" s="519"/>
      <c r="CY249" s="519"/>
      <c r="CZ249" s="519"/>
      <c r="DA249" s="519"/>
      <c r="DB249" s="519"/>
      <c r="DC249" s="519"/>
      <c r="DD249" s="519"/>
      <c r="DE249" s="519"/>
      <c r="DF249" s="519"/>
      <c r="DG249" s="519"/>
      <c r="DH249" s="519"/>
      <c r="DJ249" s="519" t="s">
        <v>954</v>
      </c>
      <c r="DK249" s="519"/>
      <c r="DL249" s="519"/>
      <c r="DM249" s="519"/>
      <c r="DN249" s="519">
        <v>2</v>
      </c>
      <c r="DO249" s="519">
        <v>2</v>
      </c>
      <c r="DP249" s="519">
        <v>2</v>
      </c>
      <c r="DQ249" s="519">
        <v>2</v>
      </c>
      <c r="DR249" s="519">
        <v>2</v>
      </c>
      <c r="DS249" s="519">
        <v>2</v>
      </c>
      <c r="DT249" s="519">
        <v>2</v>
      </c>
      <c r="DU249" s="519"/>
      <c r="DV249" s="519"/>
      <c r="DW249" s="519"/>
      <c r="DX249" s="519"/>
      <c r="DY249" s="519"/>
      <c r="DZ249" s="519"/>
      <c r="EA249" s="519"/>
      <c r="EB249" s="519"/>
      <c r="EC249" s="519"/>
      <c r="ED249" s="519"/>
      <c r="EE249" s="519"/>
      <c r="EF249" s="449">
        <v>2</v>
      </c>
    </row>
    <row r="250" spans="1:136" x14ac:dyDescent="0.2">
      <c r="A250" s="8"/>
      <c r="B250" s="8"/>
      <c r="C250" s="8"/>
      <c r="D250" s="8"/>
      <c r="E250" s="8"/>
      <c r="F250" s="8"/>
      <c r="G250" s="8"/>
      <c r="H250" s="8"/>
      <c r="I250" s="8"/>
      <c r="J250" s="8"/>
      <c r="K250" s="8"/>
      <c r="L250" s="528"/>
      <c r="M250" s="39"/>
      <c r="N250" s="115"/>
      <c r="O250" s="115"/>
      <c r="P250" s="115"/>
      <c r="Q250" s="115"/>
      <c r="R250" s="115"/>
      <c r="S250" s="115"/>
      <c r="T250" s="115"/>
      <c r="U250" s="501" t="s">
        <v>2135</v>
      </c>
      <c r="V250" s="501"/>
      <c r="W250" s="501"/>
      <c r="X250" s="501"/>
      <c r="Y250" s="501"/>
      <c r="Z250" s="501"/>
      <c r="AA250" s="501"/>
      <c r="AB250" s="501"/>
      <c r="AC250" s="501"/>
      <c r="AD250" s="501"/>
      <c r="AE250" s="501"/>
      <c r="AF250" s="501"/>
      <c r="AG250" s="501"/>
      <c r="AH250" s="501"/>
      <c r="AI250" s="501"/>
      <c r="AJ250" s="501"/>
      <c r="AK250" s="501"/>
      <c r="AL250" s="501"/>
      <c r="AM250" s="501"/>
      <c r="AN250" s="501"/>
      <c r="AO250" s="501"/>
      <c r="AP250" s="501"/>
      <c r="AQ250" s="35">
        <f t="shared" si="103"/>
        <v>0</v>
      </c>
      <c r="AR250" s="450" t="str">
        <f t="shared" si="104"/>
        <v/>
      </c>
      <c r="AS250" s="450" t="str">
        <f t="shared" si="105"/>
        <v/>
      </c>
      <c r="AT250" s="450" t="str">
        <f t="shared" si="106"/>
        <v/>
      </c>
      <c r="AU250" s="450" t="str">
        <f t="shared" si="107"/>
        <v/>
      </c>
      <c r="AV250" s="450" t="str">
        <f t="shared" si="108"/>
        <v/>
      </c>
      <c r="AW250" s="450" t="str">
        <f t="shared" si="109"/>
        <v/>
      </c>
      <c r="AX250" s="450" t="str">
        <f t="shared" si="110"/>
        <v/>
      </c>
      <c r="AY250" s="450" t="str">
        <f t="shared" si="111"/>
        <v/>
      </c>
      <c r="AZ250" s="450" t="str">
        <f t="shared" si="112"/>
        <v/>
      </c>
      <c r="BA250" s="450" t="str">
        <f t="shared" si="113"/>
        <v/>
      </c>
      <c r="BB250" s="450" t="str">
        <f t="shared" si="114"/>
        <v/>
      </c>
      <c r="BC250" s="450" t="str">
        <f t="shared" si="128"/>
        <v/>
      </c>
      <c r="BD250" s="450" t="str">
        <f t="shared" si="129"/>
        <v/>
      </c>
      <c r="BE250" s="450" t="str">
        <f t="shared" si="130"/>
        <v/>
      </c>
      <c r="BF250" s="450" t="str">
        <f t="shared" si="131"/>
        <v/>
      </c>
      <c r="BG250" s="450"/>
      <c r="BH250" s="450" t="str">
        <f t="shared" si="132"/>
        <v/>
      </c>
      <c r="BI250" s="450" t="str">
        <f t="shared" si="123"/>
        <v/>
      </c>
      <c r="BJ250" s="450" t="str">
        <f t="shared" si="124"/>
        <v/>
      </c>
      <c r="BK250" s="450" t="str">
        <f t="shared" si="125"/>
        <v/>
      </c>
      <c r="BL250" s="450" t="str">
        <f t="shared" si="126"/>
        <v/>
      </c>
      <c r="BM250" s="450" t="str">
        <f t="shared" si="127"/>
        <v/>
      </c>
      <c r="BP250" s="519" t="s">
        <v>955</v>
      </c>
      <c r="BQ250" s="519"/>
      <c r="BR250" s="519"/>
      <c r="BS250" s="519"/>
      <c r="BT250" s="501" t="s">
        <v>2902</v>
      </c>
      <c r="BU250" s="519"/>
      <c r="BV250" s="501" t="s">
        <v>2902</v>
      </c>
      <c r="BW250" s="501" t="s">
        <v>2902</v>
      </c>
      <c r="BX250" s="501" t="s">
        <v>2902</v>
      </c>
      <c r="BY250" s="501" t="s">
        <v>2902</v>
      </c>
      <c r="BZ250" s="501" t="s">
        <v>2902</v>
      </c>
      <c r="CA250" s="519"/>
      <c r="CB250" s="519"/>
      <c r="CC250" s="519"/>
      <c r="CD250" s="519"/>
      <c r="CE250" s="519"/>
      <c r="CF250" s="519"/>
      <c r="CG250" s="519"/>
      <c r="CH250" s="519"/>
      <c r="CI250" s="519"/>
      <c r="CJ250" s="519"/>
      <c r="CK250" s="519"/>
      <c r="CL250" s="498">
        <v>1</v>
      </c>
      <c r="CM250" s="519" t="s">
        <v>955</v>
      </c>
      <c r="CN250" s="519"/>
      <c r="CO250" s="519"/>
      <c r="CP250" s="519"/>
      <c r="CQ250" s="519" t="s">
        <v>2906</v>
      </c>
      <c r="CR250" s="519"/>
      <c r="CS250" s="519" t="s">
        <v>2906</v>
      </c>
      <c r="CT250" s="519" t="s">
        <v>2906</v>
      </c>
      <c r="CU250" s="519" t="s">
        <v>2906</v>
      </c>
      <c r="CV250" s="519" t="s">
        <v>2906</v>
      </c>
      <c r="CW250" s="519" t="s">
        <v>2906</v>
      </c>
      <c r="CX250" s="519"/>
      <c r="CY250" s="519"/>
      <c r="CZ250" s="519"/>
      <c r="DA250" s="519"/>
      <c r="DB250" s="519"/>
      <c r="DC250" s="519"/>
      <c r="DD250" s="519"/>
      <c r="DE250" s="519"/>
      <c r="DF250" s="519"/>
      <c r="DG250" s="519"/>
      <c r="DH250" s="519"/>
      <c r="DJ250" s="519" t="s">
        <v>955</v>
      </c>
      <c r="DK250" s="519"/>
      <c r="DL250" s="519"/>
      <c r="DM250" s="519"/>
      <c r="DN250" s="519">
        <v>2</v>
      </c>
      <c r="DO250" s="519"/>
      <c r="DP250" s="519">
        <v>2</v>
      </c>
      <c r="DQ250" s="519">
        <v>2</v>
      </c>
      <c r="DR250" s="519">
        <v>2</v>
      </c>
      <c r="DS250" s="519">
        <v>2</v>
      </c>
      <c r="DT250" s="519">
        <v>2</v>
      </c>
      <c r="DU250" s="519"/>
      <c r="DV250" s="519"/>
      <c r="DW250" s="519"/>
      <c r="DX250" s="519"/>
      <c r="DY250" s="519"/>
      <c r="DZ250" s="519"/>
      <c r="EA250" s="519"/>
      <c r="EB250" s="519"/>
      <c r="EC250" s="519"/>
      <c r="ED250" s="519"/>
      <c r="EE250" s="519"/>
      <c r="EF250" s="449">
        <v>2</v>
      </c>
    </row>
    <row r="251" spans="1:136" x14ac:dyDescent="0.2">
      <c r="A251" s="8"/>
      <c r="B251" s="8"/>
      <c r="C251" s="8"/>
      <c r="D251" s="8"/>
      <c r="E251" s="8"/>
      <c r="F251" s="8"/>
      <c r="G251" s="8"/>
      <c r="H251" s="8"/>
      <c r="I251" s="8"/>
      <c r="J251" s="8"/>
      <c r="K251" s="8"/>
      <c r="L251" s="528"/>
      <c r="M251" s="39"/>
      <c r="N251" s="115"/>
      <c r="O251" s="115"/>
      <c r="P251" s="115"/>
      <c r="Q251" s="115"/>
      <c r="R251" s="115"/>
      <c r="S251" s="115"/>
      <c r="T251" s="115"/>
      <c r="U251" s="32"/>
      <c r="V251" s="32"/>
      <c r="W251" s="32"/>
      <c r="X251" s="32"/>
      <c r="Y251" s="32"/>
      <c r="Z251" s="32"/>
      <c r="AA251" s="32"/>
      <c r="AB251" s="32"/>
      <c r="AC251" s="32"/>
      <c r="AD251" s="32"/>
      <c r="AE251" s="32"/>
      <c r="AF251" s="32"/>
      <c r="AG251" s="32"/>
      <c r="AH251" s="32"/>
      <c r="AI251" s="32"/>
      <c r="AJ251" s="32"/>
      <c r="AK251" s="32"/>
      <c r="AL251" s="32"/>
      <c r="AM251" s="32"/>
      <c r="AN251" s="32"/>
      <c r="AO251" s="32"/>
      <c r="AP251" s="32"/>
      <c r="AQ251" s="32"/>
      <c r="AR251" s="32">
        <f>IF(SUM(AS251:$BM$251)=0,SUM(AR226:AR250),0)</f>
        <v>0</v>
      </c>
      <c r="AS251" s="32">
        <f>IF(SUM(AT251:$BM$251)=0,SUM(AS226:AS250),0)</f>
        <v>0</v>
      </c>
      <c r="AT251" s="32">
        <f>IF(SUM(AU251:$BM$251)=0,SUM(AT226:AT250),0)</f>
        <v>0</v>
      </c>
      <c r="AU251" s="32">
        <f>IF(SUM(AV251:$BM$251)=0,SUM(AU226:AU250),0)</f>
        <v>0</v>
      </c>
      <c r="AV251" s="32">
        <f>IF(SUM(AW251:$BM$251)=0,SUM(AV226:AV250),0)</f>
        <v>0</v>
      </c>
      <c r="AW251" s="32">
        <f>IF(SUM(AX251:$BM$251)=0,SUM(AW226:AW250),0)</f>
        <v>0</v>
      </c>
      <c r="AX251" s="32">
        <f>IF(SUM(AY251:$BM$251)=0,SUM(AX226:AX250),0)</f>
        <v>0</v>
      </c>
      <c r="AY251" s="32">
        <f>IF(SUM(AZ251:$BM$251)=0,SUM(AY226:AY250),0)</f>
        <v>0</v>
      </c>
      <c r="AZ251" s="32">
        <f>IF(SUM(BA251:$BM$251)=0,SUM(AZ226:AZ250),0)</f>
        <v>0</v>
      </c>
      <c r="BA251" s="32">
        <f>IF(SUM(BB251:$BM$251)=0,SUM(BA226:BA250),0)</f>
        <v>0</v>
      </c>
      <c r="BB251" s="32">
        <f>IF(SUM(BC251:$BM$251)=0,SUM(BB226:BB250),0)</f>
        <v>0</v>
      </c>
      <c r="BC251" s="32">
        <f>IF(SUM(BD251:$BM$251)=0,SUM(BC226:BC250),0)</f>
        <v>0</v>
      </c>
      <c r="BD251" s="32">
        <f>IF(SUM(BE251:$BM$251)=0,SUM(BD226:BD250),0)</f>
        <v>0</v>
      </c>
      <c r="BE251" s="32">
        <f>IF(SUM(BF251:$BM$251)=0,SUM(BE226:BE250),0)</f>
        <v>0</v>
      </c>
      <c r="BF251" s="32">
        <f>IF(SUM(BH251:$BM$251)=0,SUM(BF226:BF250),0)</f>
        <v>0</v>
      </c>
      <c r="BG251" s="32"/>
      <c r="BH251" s="32">
        <f>IF(SUM(BI251:$BM$251)=0,SUM(BH226:BH250),0)</f>
        <v>0</v>
      </c>
      <c r="BI251" s="32">
        <f>IF(SUM(BJ251:$BM$251)=0,SUM(BI226:BI250),0)</f>
        <v>0</v>
      </c>
      <c r="BJ251" s="32">
        <f>IF(SUM(BK251:$BM$251)=0,SUM(BJ226:BJ250),0)</f>
        <v>0</v>
      </c>
      <c r="BK251" s="32">
        <f>IF(SUM(BL251:$BM$251)=0,SUM(BK226:BK250),0)</f>
        <v>0</v>
      </c>
      <c r="BL251" s="32">
        <f>IF(SUM(BM251:$BM$251)=0,SUM(BL226:BL250),0)</f>
        <v>0</v>
      </c>
      <c r="BM251" s="32">
        <f>SUM(BM226:BM250)</f>
        <v>0</v>
      </c>
      <c r="BN251" s="32"/>
      <c r="BP251" s="519" t="s">
        <v>956</v>
      </c>
      <c r="BQ251" s="519"/>
      <c r="BR251" s="519"/>
      <c r="BS251" s="519"/>
      <c r="BT251" s="519"/>
      <c r="BU251" s="519"/>
      <c r="BV251" s="519"/>
      <c r="BW251" s="519"/>
      <c r="BX251" s="519"/>
      <c r="BY251" s="519"/>
      <c r="BZ251" s="519"/>
      <c r="CA251" s="519"/>
      <c r="CB251" s="515" t="s">
        <v>2903</v>
      </c>
      <c r="CC251" s="501" t="s">
        <v>2903</v>
      </c>
      <c r="CD251" s="519"/>
      <c r="CE251" s="519"/>
      <c r="CF251" s="519"/>
      <c r="CG251" s="519"/>
      <c r="CH251" s="519"/>
      <c r="CI251" s="519"/>
      <c r="CJ251" s="519"/>
      <c r="CK251" s="519"/>
      <c r="CL251" s="498">
        <v>1</v>
      </c>
      <c r="CM251" s="519" t="s">
        <v>956</v>
      </c>
      <c r="CN251" s="519"/>
      <c r="CO251" s="519"/>
      <c r="CP251" s="519"/>
      <c r="CQ251" s="519"/>
      <c r="CR251" s="519"/>
      <c r="CS251" s="519"/>
      <c r="CT251" s="519"/>
      <c r="CU251" s="519"/>
      <c r="CV251" s="519"/>
      <c r="CW251" s="519"/>
      <c r="CX251" s="519"/>
      <c r="CY251" s="519" t="s">
        <v>2907</v>
      </c>
      <c r="CZ251" s="519" t="s">
        <v>2907</v>
      </c>
      <c r="DA251" s="519"/>
      <c r="DB251" s="519"/>
      <c r="DC251" s="519"/>
      <c r="DD251" s="519"/>
      <c r="DE251" s="519"/>
      <c r="DF251" s="519"/>
      <c r="DG251" s="519"/>
      <c r="DH251" s="519"/>
      <c r="DJ251" s="519" t="s">
        <v>956</v>
      </c>
      <c r="DK251" s="519"/>
      <c r="DL251" s="519"/>
      <c r="DM251" s="519"/>
      <c r="DN251" s="519"/>
      <c r="DO251" s="519"/>
      <c r="DP251" s="519"/>
      <c r="DQ251" s="519"/>
      <c r="DR251" s="519"/>
      <c r="DS251" s="519"/>
      <c r="DT251" s="519"/>
      <c r="DU251" s="519"/>
      <c r="DV251" s="519">
        <v>2</v>
      </c>
      <c r="DW251" s="519">
        <v>2</v>
      </c>
      <c r="DX251" s="519"/>
      <c r="DY251" s="519"/>
      <c r="DZ251" s="519"/>
      <c r="EA251" s="519"/>
      <c r="EB251" s="519"/>
      <c r="EC251" s="519"/>
      <c r="ED251" s="519"/>
      <c r="EE251" s="519"/>
      <c r="EF251" s="449">
        <v>2</v>
      </c>
    </row>
    <row r="252" spans="1:136" x14ac:dyDescent="0.2">
      <c r="A252" s="8"/>
      <c r="B252" s="8"/>
      <c r="C252" s="8"/>
      <c r="D252" s="8"/>
      <c r="E252" s="8"/>
      <c r="F252" s="8"/>
      <c r="G252" s="8"/>
      <c r="H252" s="8"/>
      <c r="I252" s="8"/>
      <c r="J252" s="8"/>
      <c r="K252" s="8"/>
      <c r="L252" s="528"/>
      <c r="M252" s="39"/>
      <c r="N252" s="115"/>
      <c r="O252" s="115"/>
      <c r="P252" s="115"/>
      <c r="Q252" s="115"/>
      <c r="R252" s="115"/>
      <c r="S252" s="115"/>
      <c r="T252" s="115"/>
      <c r="U252" s="25" t="s">
        <v>1225</v>
      </c>
      <c r="V252" s="45">
        <f>SUM(AR251:BM251)</f>
        <v>0</v>
      </c>
      <c r="W252" s="32"/>
      <c r="X252" s="32"/>
      <c r="Y252" s="32"/>
      <c r="Z252" s="32" t="s">
        <v>2287</v>
      </c>
      <c r="AA252" s="32"/>
      <c r="AB252" s="32">
        <f>V252/2</f>
        <v>0</v>
      </c>
      <c r="AC252" s="32"/>
      <c r="AD252" s="32"/>
      <c r="AE252" s="32"/>
      <c r="AF252" s="32"/>
      <c r="AG252" s="32"/>
      <c r="AH252" s="32"/>
      <c r="AI252" s="32"/>
      <c r="AJ252" s="32"/>
      <c r="AK252" s="32"/>
      <c r="AL252" s="32"/>
      <c r="AM252" s="32"/>
      <c r="AN252" s="32"/>
      <c r="AO252" s="32"/>
      <c r="AP252" s="32"/>
      <c r="AQ252" s="32"/>
      <c r="AR252" s="32">
        <f t="shared" ref="AR252:BM252" si="133">IF(AR251=0,0,AR223)</f>
        <v>0</v>
      </c>
      <c r="AS252" s="32">
        <f t="shared" si="133"/>
        <v>0</v>
      </c>
      <c r="AT252" s="32">
        <f t="shared" si="133"/>
        <v>0</v>
      </c>
      <c r="AU252" s="32">
        <f t="shared" si="133"/>
        <v>0</v>
      </c>
      <c r="AV252" s="32">
        <f t="shared" si="133"/>
        <v>0</v>
      </c>
      <c r="AW252" s="32">
        <f t="shared" si="133"/>
        <v>0</v>
      </c>
      <c r="AX252" s="32">
        <f t="shared" si="133"/>
        <v>0</v>
      </c>
      <c r="AY252" s="32">
        <f t="shared" si="133"/>
        <v>0</v>
      </c>
      <c r="AZ252" s="32">
        <f t="shared" si="133"/>
        <v>0</v>
      </c>
      <c r="BA252" s="32">
        <f t="shared" si="133"/>
        <v>0</v>
      </c>
      <c r="BB252" s="32">
        <f t="shared" si="133"/>
        <v>0</v>
      </c>
      <c r="BC252" s="32">
        <f t="shared" si="133"/>
        <v>0</v>
      </c>
      <c r="BD252" s="32">
        <f t="shared" si="133"/>
        <v>0</v>
      </c>
      <c r="BE252" s="32">
        <f t="shared" si="133"/>
        <v>0</v>
      </c>
      <c r="BF252" s="32">
        <f t="shared" si="133"/>
        <v>0</v>
      </c>
      <c r="BG252" s="32"/>
      <c r="BH252" s="32">
        <f t="shared" si="133"/>
        <v>0</v>
      </c>
      <c r="BI252" s="32">
        <f t="shared" si="133"/>
        <v>0</v>
      </c>
      <c r="BJ252" s="32">
        <f t="shared" si="133"/>
        <v>0</v>
      </c>
      <c r="BK252" s="32">
        <f t="shared" si="133"/>
        <v>0</v>
      </c>
      <c r="BL252" s="32">
        <f t="shared" si="133"/>
        <v>0</v>
      </c>
      <c r="BM252" s="32">
        <f t="shared" si="133"/>
        <v>0</v>
      </c>
      <c r="BN252" s="32"/>
      <c r="BP252" s="323" t="s">
        <v>2990</v>
      </c>
      <c r="BQ252" s="519"/>
      <c r="BR252" s="519"/>
      <c r="BS252" s="519"/>
      <c r="BT252" s="519"/>
      <c r="BU252" s="519"/>
      <c r="BV252" s="501" t="s">
        <v>3006</v>
      </c>
      <c r="BW252" s="501" t="s">
        <v>3006</v>
      </c>
      <c r="BX252" s="501" t="s">
        <v>3006</v>
      </c>
      <c r="BY252" s="501" t="s">
        <v>3006</v>
      </c>
      <c r="BZ252" s="519"/>
      <c r="CA252" s="519"/>
      <c r="CB252" s="515"/>
      <c r="CC252" s="501"/>
      <c r="CD252" s="519"/>
      <c r="CE252" s="519"/>
      <c r="CF252" s="519"/>
      <c r="CG252" s="519"/>
      <c r="CH252" s="519"/>
      <c r="CI252" s="519"/>
      <c r="CJ252" s="519"/>
      <c r="CK252" s="519"/>
      <c r="CL252" s="498">
        <v>1</v>
      </c>
      <c r="CM252" s="542" t="s">
        <v>2990</v>
      </c>
      <c r="CN252" s="519"/>
      <c r="CO252" s="519"/>
      <c r="CP252" s="519"/>
      <c r="CQ252" s="519"/>
      <c r="CR252" s="519"/>
      <c r="CS252" s="501" t="s">
        <v>2906</v>
      </c>
      <c r="CT252" s="501" t="s">
        <v>2906</v>
      </c>
      <c r="CU252" s="501" t="s">
        <v>2906</v>
      </c>
      <c r="CV252" s="501" t="s">
        <v>2906</v>
      </c>
      <c r="CW252" s="519"/>
      <c r="CX252" s="519"/>
      <c r="CY252" s="519"/>
      <c r="CZ252" s="519"/>
      <c r="DA252" s="519"/>
      <c r="DB252" s="519"/>
      <c r="DC252" s="519"/>
      <c r="DD252" s="519"/>
      <c r="DE252" s="519"/>
      <c r="DF252" s="519"/>
      <c r="DG252" s="519"/>
      <c r="DH252" s="519"/>
      <c r="DJ252" s="542" t="s">
        <v>2990</v>
      </c>
      <c r="DK252" s="519"/>
      <c r="DL252" s="519"/>
      <c r="DM252" s="519"/>
      <c r="DN252" s="519"/>
      <c r="DO252" s="519"/>
      <c r="DP252" s="501">
        <v>4</v>
      </c>
      <c r="DQ252" s="501">
        <v>4</v>
      </c>
      <c r="DR252" s="501">
        <v>4</v>
      </c>
      <c r="DS252" s="501">
        <v>4</v>
      </c>
      <c r="DT252" s="519"/>
      <c r="DU252" s="519"/>
      <c r="DV252" s="519"/>
      <c r="DW252" s="519"/>
      <c r="DX252" s="519"/>
      <c r="DY252" s="519"/>
      <c r="DZ252" s="519"/>
      <c r="EA252" s="519"/>
      <c r="EB252" s="519"/>
      <c r="EC252" s="519"/>
      <c r="ED252" s="519"/>
      <c r="EE252" s="519"/>
      <c r="EF252" s="449">
        <v>4</v>
      </c>
    </row>
    <row r="253" spans="1:136" x14ac:dyDescent="0.2">
      <c r="A253" s="8"/>
      <c r="B253" s="8"/>
      <c r="C253" s="8"/>
      <c r="D253" s="8"/>
      <c r="E253" s="8"/>
      <c r="F253" s="8"/>
      <c r="G253" s="8"/>
      <c r="H253" s="8"/>
      <c r="I253" s="8"/>
      <c r="J253" s="8"/>
      <c r="K253" s="8"/>
      <c r="L253" s="528"/>
      <c r="M253" s="39"/>
      <c r="N253" s="115"/>
      <c r="O253" s="115"/>
      <c r="P253" s="115"/>
      <c r="Q253" s="115"/>
      <c r="R253" s="115"/>
      <c r="S253" s="115"/>
      <c r="T253" s="115"/>
      <c r="U253" s="25" t="s">
        <v>1226</v>
      </c>
      <c r="V253" s="45" t="str">
        <f>IF(V252=0,"",LOOKUP(SUM(AR252:BM252),AR223:BM223,AR222:BM222))</f>
        <v/>
      </c>
      <c r="W253" s="32"/>
      <c r="X253" s="32"/>
      <c r="Y253" s="32"/>
      <c r="Z253" s="32"/>
      <c r="AA253" s="32"/>
      <c r="AB253" s="32"/>
      <c r="AC253" s="32"/>
      <c r="AD253" s="32"/>
      <c r="AE253" s="32"/>
      <c r="AF253" s="32"/>
      <c r="AG253" s="32"/>
      <c r="AH253" s="32"/>
      <c r="AI253" s="32"/>
      <c r="AJ253" s="32"/>
      <c r="AK253" s="32"/>
      <c r="AL253" s="32"/>
      <c r="AM253" s="32"/>
      <c r="AN253" s="32"/>
      <c r="AO253" s="32"/>
      <c r="AP253" s="32"/>
      <c r="AQ253" s="32"/>
      <c r="AR253" s="32">
        <f t="shared" ref="AR253:BM253" si="134">IF(AR251=0,0,AR224)</f>
        <v>0</v>
      </c>
      <c r="AS253" s="32">
        <f t="shared" si="134"/>
        <v>0</v>
      </c>
      <c r="AT253" s="32">
        <f t="shared" si="134"/>
        <v>0</v>
      </c>
      <c r="AU253" s="32">
        <f t="shared" si="134"/>
        <v>0</v>
      </c>
      <c r="AV253" s="32">
        <f t="shared" si="134"/>
        <v>0</v>
      </c>
      <c r="AW253" s="32">
        <f t="shared" si="134"/>
        <v>0</v>
      </c>
      <c r="AX253" s="32">
        <f t="shared" si="134"/>
        <v>0</v>
      </c>
      <c r="AY253" s="32">
        <f t="shared" si="134"/>
        <v>0</v>
      </c>
      <c r="AZ253" s="32">
        <f t="shared" si="134"/>
        <v>0</v>
      </c>
      <c r="BA253" s="32">
        <f t="shared" si="134"/>
        <v>0</v>
      </c>
      <c r="BB253" s="32">
        <f t="shared" si="134"/>
        <v>0</v>
      </c>
      <c r="BC253" s="32">
        <f t="shared" si="134"/>
        <v>0</v>
      </c>
      <c r="BD253" s="32">
        <f t="shared" si="134"/>
        <v>0</v>
      </c>
      <c r="BE253" s="32">
        <f t="shared" si="134"/>
        <v>0</v>
      </c>
      <c r="BF253" s="32">
        <f t="shared" si="134"/>
        <v>0</v>
      </c>
      <c r="BG253" s="32"/>
      <c r="BH253" s="32">
        <f t="shared" si="134"/>
        <v>0</v>
      </c>
      <c r="BI253" s="32">
        <f t="shared" si="134"/>
        <v>0</v>
      </c>
      <c r="BJ253" s="32">
        <f t="shared" si="134"/>
        <v>0</v>
      </c>
      <c r="BK253" s="32">
        <f t="shared" si="134"/>
        <v>0</v>
      </c>
      <c r="BL253" s="32">
        <f t="shared" si="134"/>
        <v>0</v>
      </c>
      <c r="BM253" s="32">
        <f t="shared" si="134"/>
        <v>0</v>
      </c>
      <c r="BP253" s="519" t="s">
        <v>957</v>
      </c>
      <c r="BQ253" s="519"/>
      <c r="BR253" s="519"/>
      <c r="BS253" s="519"/>
      <c r="BT253" s="519"/>
      <c r="BU253" s="519"/>
      <c r="BV253" s="519"/>
      <c r="BW253" s="519"/>
      <c r="BX253" s="519"/>
      <c r="BY253" s="519"/>
      <c r="BZ253" s="519"/>
      <c r="CA253" s="519"/>
      <c r="CB253" s="515" t="s">
        <v>2905</v>
      </c>
      <c r="CC253" s="519"/>
      <c r="CD253" s="519"/>
      <c r="CE253" s="519"/>
      <c r="CF253" s="519"/>
      <c r="CG253" s="519"/>
      <c r="CH253" s="519"/>
      <c r="CI253" s="519"/>
      <c r="CJ253" s="519"/>
      <c r="CK253" s="519"/>
      <c r="CL253" s="498">
        <v>1</v>
      </c>
      <c r="CM253" s="519" t="s">
        <v>957</v>
      </c>
      <c r="CN253" s="519"/>
      <c r="CO253" s="519"/>
      <c r="CP253" s="519"/>
      <c r="CQ253" s="519"/>
      <c r="CR253" s="519"/>
      <c r="CS253" s="519"/>
      <c r="CT253" s="519"/>
      <c r="CU253" s="519"/>
      <c r="CV253" s="519"/>
      <c r="CW253" s="519"/>
      <c r="CX253" s="519"/>
      <c r="CY253" s="519" t="s">
        <v>2907</v>
      </c>
      <c r="CZ253" s="519"/>
      <c r="DA253" s="519"/>
      <c r="DB253" s="519"/>
      <c r="DC253" s="519"/>
      <c r="DD253" s="519"/>
      <c r="DE253" s="519"/>
      <c r="DF253" s="519"/>
      <c r="DG253" s="519"/>
      <c r="DH253" s="519"/>
      <c r="DJ253" s="519" t="s">
        <v>957</v>
      </c>
      <c r="DK253" s="519"/>
      <c r="DL253" s="519"/>
      <c r="DM253" s="519"/>
      <c r="DN253" s="519"/>
      <c r="DO253" s="519"/>
      <c r="DP253" s="519"/>
      <c r="DQ253" s="519"/>
      <c r="DR253" s="519"/>
      <c r="DS253" s="519"/>
      <c r="DT253" s="519"/>
      <c r="DU253" s="519"/>
      <c r="DV253" s="519">
        <v>4</v>
      </c>
      <c r="DW253" s="519"/>
      <c r="DX253" s="519"/>
      <c r="DY253" s="519"/>
      <c r="DZ253" s="519"/>
      <c r="EA253" s="519"/>
      <c r="EB253" s="519"/>
      <c r="EC253" s="519"/>
      <c r="ED253" s="519"/>
      <c r="EE253" s="519"/>
      <c r="EF253" s="449">
        <v>4</v>
      </c>
    </row>
    <row r="254" spans="1:136" x14ac:dyDescent="0.2">
      <c r="A254" s="8"/>
      <c r="B254" s="8"/>
      <c r="C254" s="8"/>
      <c r="D254" s="8"/>
      <c r="E254" s="8"/>
      <c r="F254" s="8"/>
      <c r="G254" s="8"/>
      <c r="H254" s="8"/>
      <c r="I254" s="8"/>
      <c r="J254" s="8"/>
      <c r="K254" s="8"/>
      <c r="L254" s="528"/>
      <c r="M254" s="39"/>
      <c r="N254" s="115"/>
      <c r="O254" s="115"/>
      <c r="P254" s="115"/>
      <c r="Q254" s="115"/>
      <c r="R254" s="115"/>
      <c r="S254" s="115"/>
      <c r="T254" s="115"/>
      <c r="U254" s="32"/>
      <c r="V254" s="32"/>
      <c r="W254" s="32"/>
      <c r="X254" s="32"/>
      <c r="Y254" s="32"/>
      <c r="Z254" s="32"/>
      <c r="AA254" s="32"/>
      <c r="AB254" s="32"/>
      <c r="AC254" s="32"/>
      <c r="AD254" s="32"/>
      <c r="AE254" s="32"/>
      <c r="AF254" s="32"/>
      <c r="AG254" s="32"/>
      <c r="AH254" s="32"/>
      <c r="AI254" s="32"/>
      <c r="AJ254" s="32"/>
      <c r="AK254" s="32"/>
      <c r="AL254" s="32"/>
      <c r="AM254" s="32"/>
      <c r="AN254" s="32"/>
      <c r="AO254" s="32"/>
      <c r="AP254" s="32"/>
      <c r="AQ254" s="32"/>
      <c r="AR254" s="32"/>
      <c r="AS254" s="32"/>
      <c r="AT254" s="32"/>
      <c r="AU254" s="32"/>
      <c r="AV254" s="32"/>
      <c r="AW254" s="32"/>
      <c r="AX254" s="32"/>
      <c r="AY254" s="32"/>
      <c r="AZ254" s="32"/>
      <c r="BP254" s="323" t="s">
        <v>2993</v>
      </c>
      <c r="BQ254" s="519"/>
      <c r="BR254" s="519"/>
      <c r="BS254" s="519"/>
      <c r="BT254" s="519"/>
      <c r="BU254" s="519"/>
      <c r="BV254" s="519"/>
      <c r="BW254" s="519"/>
      <c r="BX254" s="519"/>
      <c r="BY254" s="519"/>
      <c r="BZ254" s="519"/>
      <c r="CA254" s="519"/>
      <c r="CB254" s="515" t="s">
        <v>2905</v>
      </c>
      <c r="CC254" s="501" t="s">
        <v>2905</v>
      </c>
      <c r="CD254" s="519"/>
      <c r="CE254" s="519"/>
      <c r="CF254" s="519"/>
      <c r="CG254" s="519"/>
      <c r="CH254" s="519"/>
      <c r="CI254" s="519"/>
      <c r="CJ254" s="519"/>
      <c r="CK254" s="519"/>
      <c r="CL254" s="498">
        <v>1</v>
      </c>
      <c r="CM254" s="542" t="s">
        <v>2993</v>
      </c>
      <c r="CN254" s="519"/>
      <c r="CO254" s="519"/>
      <c r="CP254" s="519"/>
      <c r="CQ254" s="519"/>
      <c r="CR254" s="519"/>
      <c r="CS254" s="519"/>
      <c r="CT254" s="519"/>
      <c r="CU254" s="519"/>
      <c r="CV254" s="519"/>
      <c r="CW254" s="519"/>
      <c r="CX254" s="519"/>
      <c r="CY254" s="515" t="s">
        <v>2907</v>
      </c>
      <c r="CZ254" s="501" t="s">
        <v>2907</v>
      </c>
      <c r="DA254" s="519"/>
      <c r="DB254" s="519"/>
      <c r="DC254" s="519"/>
      <c r="DD254" s="519"/>
      <c r="DE254" s="519"/>
      <c r="DF254" s="519"/>
      <c r="DG254" s="519"/>
      <c r="DH254" s="519"/>
      <c r="DJ254" s="542" t="s">
        <v>2993</v>
      </c>
      <c r="DK254" s="519"/>
      <c r="DL254" s="519"/>
      <c r="DM254" s="519"/>
      <c r="DN254" s="519"/>
      <c r="DO254" s="519"/>
      <c r="DP254" s="519"/>
      <c r="DQ254" s="519"/>
      <c r="DR254" s="519"/>
      <c r="DS254" s="519"/>
      <c r="DT254" s="519"/>
      <c r="DU254" s="519"/>
      <c r="DV254" s="515">
        <v>4</v>
      </c>
      <c r="DW254" s="501">
        <v>4</v>
      </c>
      <c r="DX254" s="519"/>
      <c r="DY254" s="519"/>
      <c r="DZ254" s="519"/>
      <c r="EA254" s="519"/>
      <c r="EB254" s="519"/>
      <c r="EC254" s="519"/>
      <c r="ED254" s="519"/>
      <c r="EE254" s="519"/>
      <c r="EF254" s="449">
        <v>4</v>
      </c>
    </row>
    <row r="255" spans="1:136" x14ac:dyDescent="0.2">
      <c r="A255" s="8"/>
      <c r="B255" s="8"/>
      <c r="C255" s="8"/>
      <c r="D255" s="8"/>
      <c r="E255" s="8"/>
      <c r="F255" s="8"/>
      <c r="G255" s="8"/>
      <c r="H255" s="8"/>
      <c r="I255" s="8"/>
      <c r="J255" s="8"/>
      <c r="K255" s="8"/>
      <c r="L255" s="528"/>
      <c r="M255" s="39"/>
      <c r="N255" s="115"/>
      <c r="O255" s="115"/>
      <c r="P255" s="115"/>
      <c r="Q255" s="115"/>
      <c r="R255" s="115"/>
      <c r="S255" s="115"/>
      <c r="T255" s="115"/>
      <c r="U255" s="32" t="s">
        <v>1229</v>
      </c>
      <c r="V255" s="32">
        <f>IF(SUM(V252,V218)&gt;0,1,0)</f>
        <v>1</v>
      </c>
      <c r="W255" s="32"/>
      <c r="X255" s="32"/>
      <c r="Y255" s="32"/>
      <c r="Z255" s="450" t="s">
        <v>1411</v>
      </c>
      <c r="AA255" s="499"/>
      <c r="AB255" s="32"/>
      <c r="AC255" s="450" t="s">
        <v>2334</v>
      </c>
      <c r="AD255" s="450" t="s">
        <v>949</v>
      </c>
      <c r="AE255" s="450"/>
      <c r="AF255" s="32"/>
      <c r="AG255" s="32"/>
      <c r="AH255" s="32"/>
      <c r="AI255" s="32"/>
      <c r="AJ255" s="32"/>
      <c r="AK255" s="32"/>
      <c r="AL255" s="32"/>
      <c r="AM255" s="32"/>
      <c r="AN255" s="32"/>
      <c r="AO255" s="32"/>
      <c r="AP255" s="32"/>
      <c r="AQ255" s="32"/>
      <c r="AR255" s="32"/>
      <c r="AS255" s="32"/>
      <c r="AT255" s="32"/>
      <c r="AU255" s="32"/>
      <c r="AV255" s="32"/>
      <c r="AW255" s="32"/>
      <c r="AX255" s="32"/>
      <c r="AY255" s="32"/>
      <c r="AZ255" s="32"/>
      <c r="BP255" s="519" t="s">
        <v>2123</v>
      </c>
      <c r="BQ255" s="519"/>
      <c r="BR255" s="519"/>
      <c r="BS255" s="519"/>
      <c r="BT255" s="519"/>
      <c r="BU255" s="519"/>
      <c r="BV255" s="519"/>
      <c r="BW255" s="519"/>
      <c r="BX255" s="519"/>
      <c r="BY255" s="519"/>
      <c r="BZ255" s="519"/>
      <c r="CA255" s="519"/>
      <c r="CB255" s="519"/>
      <c r="CC255" s="519"/>
      <c r="CD255" s="519"/>
      <c r="CE255" s="519"/>
      <c r="CF255" s="519"/>
      <c r="CG255" s="519"/>
      <c r="CH255" s="519"/>
      <c r="CI255" s="519"/>
      <c r="CJ255" s="519"/>
      <c r="CK255" s="519"/>
      <c r="CL255" s="498"/>
      <c r="CM255" s="519" t="s">
        <v>2123</v>
      </c>
      <c r="CN255" s="519"/>
      <c r="CO255" s="519"/>
      <c r="CP255" s="519"/>
      <c r="CQ255" s="519"/>
      <c r="CR255" s="519"/>
      <c r="CS255" s="519"/>
      <c r="CT255" s="519"/>
      <c r="CU255" s="519"/>
      <c r="CV255" s="519"/>
      <c r="CW255" s="519"/>
      <c r="CX255" s="519"/>
      <c r="CY255" s="519"/>
      <c r="CZ255" s="519"/>
      <c r="DA255" s="519"/>
      <c r="DB255" s="519"/>
      <c r="DC255" s="519"/>
      <c r="DD255" s="519"/>
      <c r="DE255" s="519"/>
      <c r="DF255" s="519"/>
      <c r="DG255" s="519"/>
      <c r="DH255" s="519"/>
      <c r="DJ255" s="519" t="s">
        <v>2123</v>
      </c>
      <c r="DK255" s="519"/>
      <c r="DL255" s="519"/>
      <c r="DM255" s="519"/>
      <c r="DN255" s="519"/>
      <c r="DO255" s="519"/>
      <c r="DP255" s="519"/>
      <c r="DQ255" s="519"/>
      <c r="DR255" s="519"/>
      <c r="DS255" s="519"/>
      <c r="DT255" s="519"/>
      <c r="DU255" s="519"/>
      <c r="DV255" s="519">
        <v>4</v>
      </c>
      <c r="DW255" s="519"/>
      <c r="DX255" s="519"/>
      <c r="DY255" s="519"/>
      <c r="DZ255" s="519"/>
      <c r="EA255" s="519"/>
      <c r="EB255" s="519"/>
      <c r="EC255" s="519"/>
      <c r="ED255" s="519"/>
      <c r="EE255" s="519"/>
      <c r="EF255" s="449">
        <v>4</v>
      </c>
    </row>
    <row r="256" spans="1:136" x14ac:dyDescent="0.2">
      <c r="A256" s="8"/>
      <c r="B256" s="8"/>
      <c r="C256" s="8"/>
      <c r="D256" s="8"/>
      <c r="E256" s="8"/>
      <c r="F256" s="8"/>
      <c r="G256" s="8"/>
      <c r="H256" s="8"/>
      <c r="I256" s="8"/>
      <c r="J256" s="8"/>
      <c r="K256" s="8"/>
      <c r="L256" s="528"/>
      <c r="M256" s="39"/>
      <c r="N256" s="115"/>
      <c r="O256" s="115"/>
      <c r="P256" s="115"/>
      <c r="Q256" s="115"/>
      <c r="R256" s="115"/>
      <c r="S256" s="115"/>
      <c r="T256" s="115"/>
      <c r="U256" s="32" t="s">
        <v>1225</v>
      </c>
      <c r="V256" s="32">
        <f>IF($V$252&lt;&gt;0,$V$252,$V$218)</f>
        <v>2</v>
      </c>
      <c r="W256" s="32">
        <f>IF(V255=1,IF(V218&gt;0,V218,V252),0)</f>
        <v>2</v>
      </c>
      <c r="X256" s="32"/>
      <c r="Y256" s="32"/>
      <c r="Z256" s="450" t="s">
        <v>1412</v>
      </c>
      <c r="AA256" s="499"/>
      <c r="AB256" s="32"/>
      <c r="AC256" s="450">
        <v>30</v>
      </c>
      <c r="AD256" s="450">
        <f>SUM(AR253:BM253)</f>
        <v>0</v>
      </c>
      <c r="AE256" s="450">
        <f>IF(AC256=AD256,1,0)</f>
        <v>0</v>
      </c>
      <c r="AF256" s="32" t="str">
        <f>IF(AE256=0,"",Z256)</f>
        <v/>
      </c>
      <c r="AG256" s="32"/>
      <c r="AH256" s="32"/>
      <c r="AI256" s="32"/>
      <c r="AJ256" s="32"/>
      <c r="AK256" s="32"/>
      <c r="AL256" s="32"/>
      <c r="AM256" s="32"/>
      <c r="AN256" s="32"/>
      <c r="AO256" s="32"/>
      <c r="AP256" s="32"/>
      <c r="AQ256" s="32"/>
      <c r="AR256" s="32"/>
      <c r="AS256" s="32"/>
      <c r="AT256" s="32"/>
      <c r="AU256" s="32"/>
      <c r="AV256" s="32"/>
      <c r="AW256" s="32"/>
      <c r="AX256" s="32"/>
      <c r="AY256" s="32"/>
      <c r="AZ256" s="32"/>
      <c r="BP256" s="519" t="s">
        <v>2134</v>
      </c>
      <c r="BQ256" s="519"/>
      <c r="BR256" s="519"/>
      <c r="BS256" s="519"/>
      <c r="BT256" s="519"/>
      <c r="BU256" s="519"/>
      <c r="BV256" s="519"/>
      <c r="BW256" s="519"/>
      <c r="BX256" s="519"/>
      <c r="BY256" s="519"/>
      <c r="BZ256" s="519"/>
      <c r="CA256" s="519"/>
      <c r="CB256" s="515" t="s">
        <v>2905</v>
      </c>
      <c r="CC256" s="515" t="s">
        <v>2905</v>
      </c>
      <c r="CD256" s="519"/>
      <c r="CE256" s="519"/>
      <c r="CF256" s="519"/>
      <c r="CG256" s="519"/>
      <c r="CH256" s="519"/>
      <c r="CI256" s="519"/>
      <c r="CJ256" s="519"/>
      <c r="CK256" s="519"/>
      <c r="CL256" s="498">
        <v>1</v>
      </c>
      <c r="CM256" s="519" t="s">
        <v>2134</v>
      </c>
      <c r="CN256" s="519"/>
      <c r="CO256" s="519"/>
      <c r="CP256" s="519"/>
      <c r="CQ256" s="519"/>
      <c r="CR256" s="519"/>
      <c r="CS256" s="519"/>
      <c r="CT256" s="519"/>
      <c r="CU256" s="519"/>
      <c r="CV256" s="519"/>
      <c r="CW256" s="519"/>
      <c r="CX256" s="519"/>
      <c r="CY256" s="519" t="s">
        <v>2907</v>
      </c>
      <c r="CZ256" s="519" t="s">
        <v>2907</v>
      </c>
      <c r="DA256" s="519"/>
      <c r="DB256" s="519"/>
      <c r="DC256" s="519"/>
      <c r="DD256" s="519"/>
      <c r="DE256" s="519"/>
      <c r="DF256" s="519"/>
      <c r="DG256" s="519"/>
      <c r="DH256" s="519"/>
      <c r="DJ256" s="519" t="s">
        <v>2134</v>
      </c>
      <c r="DK256" s="519"/>
      <c r="DL256" s="519"/>
      <c r="DM256" s="519"/>
      <c r="DN256" s="519"/>
      <c r="DO256" s="519"/>
      <c r="DP256" s="519"/>
      <c r="DQ256" s="519"/>
      <c r="DR256" s="519"/>
      <c r="DS256" s="519"/>
      <c r="DT256" s="519"/>
      <c r="DU256" s="519"/>
      <c r="DV256" s="515">
        <v>4</v>
      </c>
      <c r="DW256" s="515">
        <v>4</v>
      </c>
      <c r="DX256" s="519"/>
      <c r="DY256" s="519"/>
      <c r="DZ256" s="519"/>
      <c r="EA256" s="519"/>
      <c r="EB256" s="519"/>
      <c r="EC256" s="519"/>
      <c r="ED256" s="519"/>
      <c r="EE256" s="519"/>
      <c r="EF256" s="449">
        <v>4</v>
      </c>
    </row>
    <row r="257" spans="1:135" x14ac:dyDescent="0.2">
      <c r="A257" s="8"/>
      <c r="B257" s="8"/>
      <c r="C257" s="8"/>
      <c r="D257" s="8"/>
      <c r="E257" s="8"/>
      <c r="F257" s="8"/>
      <c r="G257" s="8"/>
      <c r="H257" s="8"/>
      <c r="I257" s="8"/>
      <c r="J257" s="8"/>
      <c r="K257" s="8"/>
      <c r="L257" s="528"/>
      <c r="M257" s="39"/>
      <c r="N257" s="115"/>
      <c r="O257" s="115"/>
      <c r="P257" s="115"/>
      <c r="Q257" s="115"/>
      <c r="R257" s="115"/>
      <c r="S257" s="115"/>
      <c r="T257" s="115"/>
      <c r="U257" s="25" t="s">
        <v>1226</v>
      </c>
      <c r="V257" s="32" t="str">
        <f>IF(V255=0,"N.A.",IF($V$253="",$V$219,$V$253))</f>
        <v>DP060D40RU</v>
      </c>
      <c r="W257" s="32" t="str">
        <f>IF(V255=1,IF(V218&gt;0,V219,V253),"")</f>
        <v>DP060D40RU</v>
      </c>
      <c r="X257" s="32"/>
      <c r="Y257" s="32"/>
      <c r="Z257" s="450" t="s">
        <v>1413</v>
      </c>
      <c r="AA257" s="499"/>
      <c r="AB257" s="32"/>
      <c r="AC257" s="450">
        <v>40</v>
      </c>
      <c r="AD257" s="450">
        <f>AD256</f>
        <v>0</v>
      </c>
      <c r="AE257" s="450">
        <f>IF(AC257=AD257,1,0)</f>
        <v>0</v>
      </c>
      <c r="AF257" s="32" t="str">
        <f>IF(AE257=0,"",Z257)</f>
        <v/>
      </c>
      <c r="AG257" s="32"/>
      <c r="AH257" s="32"/>
      <c r="AI257" s="32"/>
      <c r="AJ257" s="32"/>
      <c r="AK257" s="32"/>
      <c r="AL257" s="32"/>
      <c r="AM257" s="32"/>
      <c r="AN257" s="32"/>
      <c r="AO257" s="32"/>
      <c r="AP257" s="32"/>
      <c r="AQ257" s="32"/>
      <c r="AR257" s="32"/>
      <c r="AS257" s="32"/>
      <c r="AT257" s="32"/>
      <c r="AU257" s="32"/>
      <c r="AV257" s="32"/>
      <c r="AW257" s="32"/>
      <c r="AX257" s="32"/>
      <c r="AY257" s="32"/>
      <c r="AZ257" s="32"/>
      <c r="BP257" s="519" t="s">
        <v>2135</v>
      </c>
      <c r="BQ257" s="519"/>
      <c r="BR257" s="519"/>
      <c r="BS257" s="519"/>
      <c r="BT257" s="519"/>
      <c r="BU257" s="519"/>
      <c r="BV257" s="519"/>
      <c r="BW257" s="519"/>
      <c r="BX257" s="519"/>
      <c r="BY257" s="519"/>
      <c r="BZ257" s="519"/>
      <c r="CA257" s="519"/>
      <c r="CB257" s="519"/>
      <c r="CC257" s="519"/>
      <c r="CD257" s="519"/>
      <c r="CE257" s="519"/>
      <c r="CF257" s="519"/>
      <c r="CG257" s="519"/>
      <c r="CH257" s="519"/>
      <c r="CI257" s="519"/>
      <c r="CJ257" s="519"/>
      <c r="CK257" s="519"/>
      <c r="CL257" s="498"/>
      <c r="CM257" s="519" t="s">
        <v>2135</v>
      </c>
      <c r="CN257" s="519"/>
      <c r="CO257" s="519"/>
      <c r="CP257" s="519"/>
      <c r="CQ257" s="519"/>
      <c r="CR257" s="519"/>
      <c r="CS257" s="519"/>
      <c r="CT257" s="519"/>
      <c r="CU257" s="519"/>
      <c r="CV257" s="519"/>
      <c r="CW257" s="519"/>
      <c r="CX257" s="519"/>
      <c r="CY257" s="519"/>
      <c r="CZ257" s="519"/>
      <c r="DA257" s="519"/>
      <c r="DB257" s="519"/>
      <c r="DC257" s="519"/>
      <c r="DD257" s="519"/>
      <c r="DE257" s="519"/>
      <c r="DF257" s="519"/>
      <c r="DG257" s="519"/>
      <c r="DH257" s="519"/>
      <c r="DJ257" s="519" t="s">
        <v>2135</v>
      </c>
      <c r="DK257" s="519"/>
      <c r="DL257" s="519"/>
      <c r="DM257" s="519"/>
      <c r="DN257" s="519"/>
      <c r="DO257" s="519"/>
      <c r="DP257" s="519"/>
      <c r="DQ257" s="519"/>
      <c r="DR257" s="519"/>
      <c r="DS257" s="519"/>
      <c r="DT257" s="519"/>
      <c r="DU257" s="519"/>
      <c r="DV257" s="519"/>
      <c r="DW257" s="519"/>
      <c r="DX257" s="519"/>
      <c r="DY257" s="519"/>
      <c r="DZ257" s="519"/>
      <c r="EA257" s="519"/>
      <c r="EB257" s="519"/>
      <c r="EC257" s="519"/>
      <c r="ED257" s="519"/>
      <c r="EE257" s="519"/>
    </row>
    <row r="258" spans="1:135" x14ac:dyDescent="0.2">
      <c r="A258" s="8"/>
      <c r="B258" s="8"/>
      <c r="C258" s="8"/>
      <c r="D258" s="8"/>
      <c r="E258" s="8"/>
      <c r="F258" s="8"/>
      <c r="G258" s="8"/>
      <c r="H258" s="8"/>
      <c r="I258" s="8"/>
      <c r="J258" s="8"/>
      <c r="K258" s="8"/>
      <c r="L258" s="528"/>
      <c r="M258" s="39"/>
      <c r="N258" s="115"/>
      <c r="O258" s="115"/>
      <c r="P258" s="115"/>
      <c r="Q258" s="115"/>
      <c r="R258" s="115"/>
      <c r="S258" s="115"/>
      <c r="T258" s="115"/>
      <c r="U258" s="32" t="s">
        <v>1230</v>
      </c>
      <c r="V258" s="32">
        <f>IF(AND(V255=1,V218=0),1,0)</f>
        <v>0</v>
      </c>
      <c r="W258" s="32">
        <f>IF(AND(V255=1,V218=0),1,0)</f>
        <v>0</v>
      </c>
      <c r="X258" s="32"/>
      <c r="Y258" s="32"/>
      <c r="Z258" s="32"/>
      <c r="AA258" s="32"/>
      <c r="AB258" s="32"/>
      <c r="AC258" s="32"/>
      <c r="AD258" s="32"/>
      <c r="AE258" s="32"/>
      <c r="AF258" s="32"/>
      <c r="AG258" s="32"/>
      <c r="AH258" s="32"/>
      <c r="AI258" s="32"/>
      <c r="AJ258" s="32"/>
      <c r="AK258" s="32"/>
      <c r="AL258" s="32"/>
      <c r="AM258" s="32"/>
      <c r="AN258" s="32"/>
      <c r="AO258" s="32"/>
      <c r="AP258" s="32"/>
      <c r="AQ258" s="32"/>
      <c r="AR258" s="32"/>
      <c r="AS258" s="32"/>
      <c r="AT258" s="32"/>
      <c r="AU258" s="32"/>
      <c r="AV258" s="32"/>
      <c r="AW258" s="32"/>
      <c r="AX258" s="32"/>
      <c r="AY258" s="32"/>
      <c r="AZ258" s="32"/>
      <c r="BQ258" s="525"/>
      <c r="BR258" s="525"/>
      <c r="BS258" s="525"/>
      <c r="BT258" s="525">
        <v>1</v>
      </c>
      <c r="BU258" s="525">
        <v>1</v>
      </c>
      <c r="BV258" s="525">
        <v>1</v>
      </c>
      <c r="BW258" s="525">
        <v>1</v>
      </c>
      <c r="BX258" s="525">
        <v>1</v>
      </c>
      <c r="BY258" s="525">
        <v>1</v>
      </c>
      <c r="BZ258" s="525">
        <v>1</v>
      </c>
      <c r="CA258" s="525">
        <v>1</v>
      </c>
      <c r="CB258" s="525">
        <v>1</v>
      </c>
      <c r="CC258" s="525">
        <v>1</v>
      </c>
      <c r="CD258" s="525">
        <v>1</v>
      </c>
      <c r="CE258" s="525">
        <v>1</v>
      </c>
      <c r="CF258" s="525">
        <v>1</v>
      </c>
      <c r="CG258" s="525"/>
      <c r="CH258" s="525"/>
      <c r="CI258" s="525"/>
      <c r="CJ258" s="525"/>
      <c r="CK258" s="525"/>
      <c r="CQ258" s="45" t="s">
        <v>2906</v>
      </c>
      <c r="CR258" s="45" t="s">
        <v>2906</v>
      </c>
      <c r="CS258" s="45" t="s">
        <v>2912</v>
      </c>
      <c r="CT258" s="45" t="s">
        <v>2906</v>
      </c>
      <c r="CU258" s="45" t="s">
        <v>2906</v>
      </c>
      <c r="CV258" s="45" t="s">
        <v>2906</v>
      </c>
      <c r="CW258" s="45" t="s">
        <v>2906</v>
      </c>
      <c r="CX258" s="45" t="s">
        <v>2907</v>
      </c>
      <c r="CY258" s="45" t="s">
        <v>2907</v>
      </c>
      <c r="CZ258" s="45" t="s">
        <v>2907</v>
      </c>
      <c r="DA258" s="45" t="s">
        <v>2907</v>
      </c>
      <c r="DB258" s="45" t="s">
        <v>2907</v>
      </c>
      <c r="DC258" s="45" t="s">
        <v>2907</v>
      </c>
    </row>
    <row r="259" spans="1:135" x14ac:dyDescent="0.2">
      <c r="A259" s="8"/>
      <c r="B259" s="8"/>
      <c r="C259" s="8"/>
      <c r="D259" s="8"/>
      <c r="E259" s="8"/>
      <c r="F259" s="8"/>
      <c r="G259" s="8"/>
      <c r="H259" s="8"/>
      <c r="I259" s="8"/>
      <c r="J259" s="8"/>
      <c r="K259" s="8"/>
      <c r="L259" s="528"/>
      <c r="M259" s="39"/>
      <c r="N259" s="115"/>
      <c r="O259" s="115"/>
      <c r="P259" s="115"/>
      <c r="Q259" s="115"/>
      <c r="R259" s="115"/>
      <c r="S259" s="115"/>
      <c r="T259" s="115"/>
      <c r="U259" s="32" t="s">
        <v>1231</v>
      </c>
      <c r="V259" s="32" t="str">
        <f>CONCATENATE(AF256,AF257)</f>
        <v/>
      </c>
      <c r="W259" s="32"/>
      <c r="X259" s="32"/>
      <c r="Y259" s="32"/>
      <c r="Z259" s="32"/>
      <c r="AA259" s="32"/>
      <c r="AB259" s="32"/>
      <c r="AC259" s="32"/>
      <c r="AD259" s="32"/>
      <c r="AE259" s="32"/>
      <c r="AF259" s="32"/>
      <c r="AG259" s="32"/>
      <c r="AH259" s="32"/>
      <c r="AI259" s="32"/>
      <c r="AJ259" s="32"/>
      <c r="AK259" s="32"/>
      <c r="AL259" s="32"/>
      <c r="AM259" s="32"/>
      <c r="AN259" s="32"/>
      <c r="AO259" s="32"/>
      <c r="AP259" s="32"/>
      <c r="AQ259" s="32"/>
      <c r="AR259" s="32"/>
      <c r="AS259" s="32"/>
      <c r="AT259" s="32"/>
      <c r="AU259" s="32"/>
      <c r="AV259" s="32"/>
      <c r="AW259" s="32"/>
      <c r="AX259" s="32"/>
      <c r="AY259" s="32"/>
      <c r="AZ259" s="32"/>
    </row>
    <row r="260" spans="1:135" x14ac:dyDescent="0.2">
      <c r="A260" s="8"/>
      <c r="B260" s="8"/>
      <c r="C260" s="8"/>
      <c r="D260" s="8"/>
      <c r="E260" s="8"/>
      <c r="F260" s="8"/>
      <c r="G260" s="8"/>
      <c r="H260" s="8"/>
      <c r="I260" s="8"/>
      <c r="J260" s="8"/>
      <c r="K260" s="8"/>
      <c r="L260" s="528"/>
      <c r="M260" s="39"/>
      <c r="N260" s="115"/>
      <c r="O260" s="115"/>
      <c r="P260" s="115"/>
      <c r="Q260" s="115"/>
      <c r="R260" s="115"/>
      <c r="S260" s="115"/>
      <c r="T260" s="115"/>
      <c r="BP260" s="45" t="s">
        <v>2906</v>
      </c>
      <c r="BQ260" s="45" t="s">
        <v>2908</v>
      </c>
      <c r="CM260" s="445" t="e">
        <f>HLOOKUP(SELECTION!B11,DESIGN!CN225:DH258,31,0)</f>
        <v>#N/A</v>
      </c>
    </row>
    <row r="261" spans="1:135" x14ac:dyDescent="0.2">
      <c r="A261" s="8"/>
      <c r="B261" s="8"/>
      <c r="C261" s="8"/>
      <c r="D261" s="8"/>
      <c r="E261" s="8"/>
      <c r="F261" s="8"/>
      <c r="G261" s="8"/>
      <c r="H261" s="8"/>
      <c r="I261" s="8"/>
      <c r="J261" s="8"/>
      <c r="K261" s="8"/>
      <c r="L261" s="528"/>
      <c r="M261" s="39"/>
      <c r="N261" s="115"/>
      <c r="O261" s="115"/>
      <c r="P261" s="115"/>
      <c r="Q261" s="115"/>
      <c r="R261" s="115"/>
      <c r="S261" s="115"/>
      <c r="T261" s="115"/>
      <c r="BP261" s="45" t="s">
        <v>2907</v>
      </c>
      <c r="BQ261" s="45" t="s">
        <v>2909</v>
      </c>
    </row>
    <row r="262" spans="1:135" x14ac:dyDescent="0.2">
      <c r="A262" s="8"/>
      <c r="B262" s="8"/>
      <c r="C262" s="8"/>
      <c r="D262" s="8"/>
      <c r="E262" s="8"/>
      <c r="F262" s="8"/>
      <c r="G262" s="8"/>
      <c r="H262" s="8"/>
      <c r="I262" s="8"/>
      <c r="J262" s="8"/>
      <c r="K262" s="8"/>
      <c r="L262" s="528"/>
      <c r="M262" s="39"/>
      <c r="N262" s="115"/>
      <c r="O262" s="115"/>
      <c r="P262" s="115"/>
      <c r="Q262" s="115"/>
      <c r="R262" s="115"/>
      <c r="S262" s="115"/>
      <c r="T262" s="115"/>
    </row>
    <row r="263" spans="1:135" x14ac:dyDescent="0.2">
      <c r="A263" s="8"/>
      <c r="B263" s="8"/>
      <c r="C263" s="8"/>
      <c r="D263" s="8"/>
      <c r="E263" s="8"/>
      <c r="F263" s="8"/>
      <c r="G263" s="8"/>
      <c r="H263" s="8"/>
      <c r="I263" s="8"/>
      <c r="J263" s="8"/>
      <c r="K263" s="8"/>
      <c r="L263" s="528"/>
      <c r="M263" s="39"/>
      <c r="N263" s="115"/>
      <c r="O263" s="115"/>
      <c r="P263" s="115"/>
      <c r="Q263" s="115"/>
      <c r="R263" s="115"/>
      <c r="S263" s="115"/>
      <c r="T263" s="115"/>
    </row>
    <row r="264" spans="1:135" x14ac:dyDescent="0.2">
      <c r="A264" s="8"/>
      <c r="B264" s="8"/>
      <c r="C264" s="8"/>
      <c r="D264" s="8"/>
      <c r="E264" s="8"/>
      <c r="F264" s="8"/>
      <c r="G264" s="8"/>
      <c r="H264" s="8"/>
      <c r="I264" s="8"/>
      <c r="J264" s="8"/>
      <c r="K264" s="8"/>
      <c r="L264" s="528"/>
      <c r="M264" s="39"/>
      <c r="N264" s="115"/>
      <c r="O264" s="115"/>
      <c r="P264" s="115"/>
      <c r="Q264" s="115"/>
      <c r="R264" s="115"/>
      <c r="S264" s="115"/>
      <c r="T264" s="115"/>
    </row>
    <row r="265" spans="1:135" x14ac:dyDescent="0.2">
      <c r="A265" s="8"/>
      <c r="B265" s="8"/>
      <c r="C265" s="8"/>
      <c r="D265" s="8"/>
      <c r="E265" s="8"/>
      <c r="F265" s="8"/>
      <c r="G265" s="8"/>
      <c r="H265" s="8"/>
      <c r="I265" s="8"/>
      <c r="J265" s="8"/>
      <c r="K265" s="8"/>
      <c r="L265" s="528"/>
      <c r="M265" s="39"/>
      <c r="N265" s="115"/>
      <c r="O265" s="448"/>
    </row>
    <row r="266" spans="1:135" x14ac:dyDescent="0.2">
      <c r="A266" s="8"/>
      <c r="B266" s="8"/>
      <c r="C266" s="8"/>
      <c r="D266" s="8"/>
      <c r="E266" s="8"/>
      <c r="F266" s="8"/>
      <c r="G266" s="8"/>
      <c r="H266" s="8"/>
      <c r="I266" s="8"/>
      <c r="J266" s="8"/>
      <c r="K266" s="8"/>
      <c r="L266" s="528"/>
      <c r="M266" s="39"/>
      <c r="N266" s="115"/>
      <c r="O266" s="448"/>
    </row>
    <row r="267" spans="1:135" x14ac:dyDescent="0.2">
      <c r="A267" s="8"/>
      <c r="B267" s="8"/>
      <c r="C267" s="8"/>
      <c r="D267" s="8"/>
      <c r="E267" s="8"/>
      <c r="F267" s="8"/>
      <c r="G267" s="8"/>
      <c r="H267" s="8"/>
      <c r="I267" s="8"/>
      <c r="J267" s="8"/>
      <c r="K267" s="8"/>
      <c r="L267" s="528"/>
      <c r="M267" s="39"/>
      <c r="N267" s="115"/>
      <c r="O267" s="448"/>
    </row>
    <row r="268" spans="1:135" x14ac:dyDescent="0.2">
      <c r="A268" s="8"/>
      <c r="B268" s="8"/>
      <c r="C268" s="8"/>
      <c r="D268" s="8"/>
      <c r="E268" s="8"/>
      <c r="F268" s="8"/>
      <c r="G268" s="8"/>
      <c r="H268" s="8"/>
      <c r="I268" s="8"/>
      <c r="J268" s="8"/>
      <c r="K268" s="8"/>
      <c r="L268" s="528"/>
      <c r="M268" s="39"/>
      <c r="N268" s="115"/>
      <c r="O268" s="448"/>
    </row>
    <row r="269" spans="1:135" x14ac:dyDescent="0.2">
      <c r="A269" s="8"/>
      <c r="B269" s="8"/>
      <c r="C269" s="8"/>
      <c r="D269" s="8"/>
      <c r="E269" s="8"/>
      <c r="F269" s="8"/>
      <c r="G269" s="8"/>
      <c r="H269" s="8"/>
      <c r="I269" s="8"/>
      <c r="J269" s="8"/>
      <c r="K269" s="8"/>
      <c r="L269" s="528"/>
      <c r="M269" s="39"/>
      <c r="N269" s="115"/>
      <c r="O269" s="448"/>
    </row>
    <row r="270" spans="1:135" x14ac:dyDescent="0.2">
      <c r="A270" s="8"/>
      <c r="B270" s="8"/>
      <c r="C270" s="8"/>
      <c r="D270" s="8"/>
      <c r="E270" s="8"/>
      <c r="F270" s="8"/>
      <c r="G270" s="8"/>
      <c r="H270" s="8"/>
      <c r="I270" s="8"/>
      <c r="J270" s="8"/>
      <c r="K270" s="8"/>
      <c r="L270" s="528"/>
      <c r="M270" s="528"/>
      <c r="N270" s="448"/>
      <c r="O270" s="448"/>
    </row>
    <row r="271" spans="1:135" x14ac:dyDescent="0.2">
      <c r="A271" s="8"/>
      <c r="B271" s="8"/>
      <c r="C271" s="8"/>
      <c r="D271" s="8"/>
      <c r="E271" s="8"/>
      <c r="F271" s="8"/>
      <c r="G271" s="8"/>
      <c r="H271" s="8"/>
      <c r="I271" s="8"/>
      <c r="J271" s="8"/>
      <c r="K271" s="8"/>
      <c r="L271" s="528"/>
      <c r="M271" s="528"/>
      <c r="N271" s="448"/>
      <c r="O271" s="448"/>
    </row>
    <row r="272" spans="1:135" x14ac:dyDescent="0.2">
      <c r="A272" s="8"/>
      <c r="B272" s="8"/>
      <c r="C272" s="8"/>
      <c r="D272" s="8"/>
      <c r="E272" s="8"/>
      <c r="F272" s="8"/>
      <c r="G272" s="8"/>
      <c r="H272" s="8"/>
      <c r="I272" s="8"/>
      <c r="J272" s="8"/>
      <c r="K272" s="8"/>
      <c r="L272" s="528"/>
      <c r="M272" s="528"/>
      <c r="N272" s="448"/>
      <c r="O272" s="448"/>
    </row>
    <row r="273" spans="1:15" x14ac:dyDescent="0.2">
      <c r="A273" s="8"/>
      <c r="B273" s="8"/>
      <c r="C273" s="8"/>
      <c r="D273" s="8"/>
      <c r="E273" s="8"/>
      <c r="F273" s="8"/>
      <c r="G273" s="8"/>
      <c r="H273" s="8"/>
      <c r="I273" s="8"/>
      <c r="J273" s="8"/>
      <c r="K273" s="8"/>
      <c r="L273" s="528"/>
      <c r="M273" s="528"/>
      <c r="N273" s="448"/>
      <c r="O273" s="448"/>
    </row>
    <row r="274" spans="1:15" x14ac:dyDescent="0.2">
      <c r="A274" s="8"/>
      <c r="B274" s="8"/>
      <c r="C274" s="8"/>
      <c r="D274" s="8"/>
      <c r="E274" s="8"/>
      <c r="F274" s="8"/>
      <c r="G274" s="8"/>
      <c r="H274" s="8"/>
      <c r="I274" s="8"/>
      <c r="J274" s="8"/>
      <c r="K274" s="8"/>
      <c r="L274" s="528"/>
      <c r="M274" s="528"/>
      <c r="N274" s="448"/>
      <c r="O274" s="448"/>
    </row>
    <row r="275" spans="1:15" x14ac:dyDescent="0.2">
      <c r="A275" s="8"/>
      <c r="B275" s="8"/>
      <c r="C275" s="8"/>
      <c r="D275" s="8"/>
      <c r="E275" s="8"/>
      <c r="F275" s="8"/>
      <c r="G275" s="8"/>
      <c r="H275" s="8"/>
      <c r="I275" s="8"/>
      <c r="J275" s="8"/>
      <c r="K275" s="8"/>
      <c r="L275" s="528"/>
      <c r="M275" s="528"/>
      <c r="N275" s="448"/>
      <c r="O275" s="448"/>
    </row>
    <row r="276" spans="1:15" x14ac:dyDescent="0.2">
      <c r="A276" s="8"/>
      <c r="B276" s="8"/>
      <c r="C276" s="8"/>
      <c r="D276" s="8"/>
      <c r="E276" s="8"/>
      <c r="F276" s="8"/>
      <c r="G276" s="8"/>
      <c r="H276" s="8"/>
      <c r="I276" s="8"/>
      <c r="J276" s="8"/>
      <c r="K276" s="8"/>
      <c r="L276" s="528"/>
      <c r="M276" s="528"/>
      <c r="N276" s="448"/>
      <c r="O276" s="448"/>
    </row>
    <row r="277" spans="1:15" x14ac:dyDescent="0.2">
      <c r="A277" s="8"/>
      <c r="B277" s="8"/>
      <c r="C277" s="8"/>
      <c r="D277" s="8"/>
      <c r="E277" s="8"/>
      <c r="F277" s="8"/>
      <c r="G277" s="8"/>
      <c r="H277" s="8"/>
      <c r="I277" s="8"/>
      <c r="J277" s="8"/>
      <c r="K277" s="8"/>
      <c r="L277" s="528"/>
      <c r="M277" s="528"/>
      <c r="N277" s="448"/>
      <c r="O277" s="448"/>
    </row>
    <row r="278" spans="1:15" x14ac:dyDescent="0.2">
      <c r="A278" s="8"/>
      <c r="B278" s="8"/>
      <c r="C278" s="8"/>
      <c r="D278" s="8"/>
      <c r="E278" s="8"/>
      <c r="F278" s="8"/>
      <c r="G278" s="8"/>
      <c r="H278" s="8"/>
      <c r="I278" s="8"/>
      <c r="J278" s="8"/>
      <c r="K278" s="8"/>
      <c r="L278" s="528"/>
      <c r="M278" s="528"/>
      <c r="N278" s="448"/>
      <c r="O278" s="448"/>
    </row>
    <row r="279" spans="1:15" x14ac:dyDescent="0.2">
      <c r="A279" s="8"/>
      <c r="B279" s="8"/>
      <c r="C279" s="8"/>
      <c r="D279" s="8"/>
      <c r="E279" s="8"/>
      <c r="F279" s="8"/>
      <c r="G279" s="8"/>
      <c r="H279" s="8"/>
      <c r="I279" s="8"/>
      <c r="J279" s="8"/>
      <c r="K279" s="8"/>
      <c r="L279" s="528"/>
      <c r="M279" s="528"/>
      <c r="N279" s="448"/>
      <c r="O279" s="448"/>
    </row>
    <row r="280" spans="1:15" x14ac:dyDescent="0.2">
      <c r="A280" s="8"/>
      <c r="B280" s="8"/>
      <c r="C280" s="8"/>
      <c r="D280" s="8"/>
      <c r="E280" s="8"/>
      <c r="F280" s="8"/>
      <c r="G280" s="8"/>
      <c r="H280" s="8"/>
      <c r="I280" s="8"/>
      <c r="J280" s="8"/>
      <c r="K280" s="8"/>
      <c r="L280" s="528"/>
      <c r="M280" s="528"/>
      <c r="N280" s="448"/>
      <c r="O280" s="448"/>
    </row>
    <row r="281" spans="1:15" x14ac:dyDescent="0.2">
      <c r="A281" s="8"/>
      <c r="B281" s="8"/>
      <c r="C281" s="8"/>
      <c r="D281" s="8"/>
      <c r="E281" s="8"/>
      <c r="F281" s="8"/>
      <c r="G281" s="8"/>
      <c r="H281" s="8"/>
      <c r="I281" s="8"/>
      <c r="J281" s="8"/>
      <c r="K281" s="8"/>
      <c r="L281" s="528"/>
      <c r="M281" s="528"/>
      <c r="N281" s="448"/>
      <c r="O281" s="448"/>
    </row>
    <row r="282" spans="1:15" x14ac:dyDescent="0.2">
      <c r="A282" s="8"/>
      <c r="B282" s="8"/>
      <c r="C282" s="8"/>
      <c r="D282" s="8"/>
      <c r="E282" s="8"/>
      <c r="F282" s="8"/>
      <c r="G282" s="8"/>
      <c r="H282" s="8"/>
      <c r="I282" s="8"/>
      <c r="J282" s="8"/>
      <c r="K282" s="8"/>
      <c r="L282" s="528"/>
      <c r="M282" s="528"/>
      <c r="N282" s="448"/>
      <c r="O282" s="448"/>
    </row>
    <row r="283" spans="1:15" x14ac:dyDescent="0.2">
      <c r="A283" s="8"/>
      <c r="B283" s="8"/>
      <c r="C283" s="8"/>
      <c r="D283" s="8"/>
      <c r="E283" s="8"/>
      <c r="F283" s="8"/>
      <c r="G283" s="8"/>
      <c r="H283" s="8"/>
      <c r="I283" s="8"/>
      <c r="J283" s="8"/>
      <c r="K283" s="8"/>
      <c r="L283" s="528"/>
      <c r="M283" s="528"/>
      <c r="N283" s="448"/>
      <c r="O283" s="448"/>
    </row>
    <row r="284" spans="1:15" x14ac:dyDescent="0.2">
      <c r="A284" s="8"/>
      <c r="B284" s="8"/>
      <c r="C284" s="8"/>
      <c r="D284" s="8"/>
      <c r="E284" s="8"/>
      <c r="F284" s="8"/>
      <c r="G284" s="8"/>
      <c r="H284" s="8"/>
      <c r="I284" s="8"/>
      <c r="J284" s="8"/>
      <c r="K284" s="8"/>
      <c r="L284" s="528"/>
      <c r="M284" s="528"/>
      <c r="N284" s="448"/>
      <c r="O284" s="448"/>
    </row>
    <row r="285" spans="1:15" x14ac:dyDescent="0.2">
      <c r="A285" s="8"/>
      <c r="B285" s="8"/>
      <c r="C285" s="8"/>
      <c r="D285" s="8"/>
      <c r="E285" s="8"/>
      <c r="F285" s="8"/>
      <c r="G285" s="8"/>
      <c r="H285" s="8"/>
      <c r="I285" s="8"/>
      <c r="J285" s="8"/>
      <c r="K285" s="8"/>
      <c r="L285" s="528"/>
      <c r="M285" s="528"/>
      <c r="N285" s="448"/>
      <c r="O285" s="448"/>
    </row>
    <row r="286" spans="1:15" x14ac:dyDescent="0.2">
      <c r="A286" s="8"/>
      <c r="B286" s="8"/>
      <c r="C286" s="8"/>
      <c r="D286" s="8"/>
      <c r="E286" s="8"/>
      <c r="F286" s="8"/>
      <c r="G286" s="8"/>
      <c r="H286" s="8"/>
      <c r="I286" s="8"/>
      <c r="J286" s="8"/>
      <c r="K286" s="8"/>
      <c r="L286" s="528"/>
      <c r="M286" s="528"/>
      <c r="N286" s="448"/>
      <c r="O286" s="448"/>
    </row>
    <row r="287" spans="1:15" x14ac:dyDescent="0.2">
      <c r="A287" s="8"/>
      <c r="B287" s="8"/>
      <c r="C287" s="8"/>
      <c r="D287" s="8"/>
      <c r="E287" s="8"/>
      <c r="F287" s="8"/>
      <c r="G287" s="8"/>
      <c r="H287" s="8"/>
      <c r="I287" s="8"/>
      <c r="J287" s="8"/>
      <c r="K287" s="8"/>
      <c r="L287" s="528"/>
      <c r="M287" s="528"/>
      <c r="N287" s="448"/>
      <c r="O287" s="448"/>
    </row>
    <row r="288" spans="1:15" x14ac:dyDescent="0.2">
      <c r="A288" s="8"/>
      <c r="B288" s="8"/>
      <c r="C288" s="8"/>
      <c r="D288" s="8"/>
      <c r="E288" s="8"/>
      <c r="F288" s="8"/>
      <c r="G288" s="8"/>
      <c r="H288" s="8"/>
      <c r="I288" s="8"/>
      <c r="J288" s="8"/>
      <c r="K288" s="8"/>
      <c r="L288" s="528"/>
      <c r="M288" s="528"/>
      <c r="N288" s="448"/>
      <c r="O288" s="448"/>
    </row>
    <row r="289" spans="1:15" x14ac:dyDescent="0.2">
      <c r="A289" s="8"/>
      <c r="B289" s="8"/>
      <c r="C289" s="8"/>
      <c r="D289" s="8"/>
      <c r="E289" s="8"/>
      <c r="F289" s="8"/>
      <c r="G289" s="8"/>
      <c r="H289" s="8"/>
      <c r="I289" s="8"/>
      <c r="J289" s="8"/>
      <c r="K289" s="8"/>
      <c r="L289" s="528"/>
      <c r="M289" s="528"/>
      <c r="N289" s="448"/>
      <c r="O289" s="448"/>
    </row>
    <row r="290" spans="1:15" x14ac:dyDescent="0.2">
      <c r="A290" s="8"/>
      <c r="B290" s="8"/>
      <c r="C290" s="8"/>
      <c r="D290" s="8"/>
      <c r="E290" s="8"/>
      <c r="F290" s="8"/>
      <c r="G290" s="8"/>
      <c r="H290" s="8"/>
      <c r="I290" s="8"/>
      <c r="J290" s="8"/>
      <c r="K290" s="8"/>
      <c r="L290" s="528"/>
      <c r="M290" s="528"/>
      <c r="N290" s="448"/>
      <c r="O290" s="448"/>
    </row>
    <row r="291" spans="1:15" x14ac:dyDescent="0.2">
      <c r="A291" s="8"/>
      <c r="B291" s="8"/>
      <c r="C291" s="8"/>
      <c r="D291" s="8"/>
      <c r="E291" s="8"/>
      <c r="F291" s="8"/>
      <c r="G291" s="8"/>
      <c r="H291" s="8"/>
      <c r="I291" s="8"/>
      <c r="J291" s="8"/>
      <c r="K291" s="8"/>
      <c r="L291" s="528"/>
      <c r="M291" s="528"/>
      <c r="N291" s="448"/>
      <c r="O291" s="448"/>
    </row>
    <row r="292" spans="1:15" x14ac:dyDescent="0.2">
      <c r="A292" s="8"/>
      <c r="B292" s="8"/>
      <c r="C292" s="8"/>
      <c r="D292" s="8"/>
      <c r="E292" s="8"/>
      <c r="F292" s="8"/>
      <c r="G292" s="8"/>
      <c r="H292" s="8"/>
      <c r="I292" s="8"/>
      <c r="J292" s="8"/>
      <c r="K292" s="8"/>
      <c r="L292" s="528"/>
      <c r="M292" s="528"/>
      <c r="N292" s="448"/>
      <c r="O292" s="448"/>
    </row>
    <row r="293" spans="1:15" x14ac:dyDescent="0.2">
      <c r="A293" s="8"/>
      <c r="B293" s="8"/>
      <c r="C293" s="8"/>
      <c r="D293" s="8"/>
      <c r="E293" s="8"/>
      <c r="F293" s="8"/>
      <c r="G293" s="8"/>
      <c r="H293" s="8"/>
      <c r="I293" s="8"/>
      <c r="J293" s="8"/>
      <c r="K293" s="8"/>
      <c r="L293" s="528"/>
      <c r="M293" s="528"/>
      <c r="N293" s="448"/>
      <c r="O293" s="448"/>
    </row>
    <row r="294" spans="1:15" x14ac:dyDescent="0.2">
      <c r="A294" s="8"/>
      <c r="B294" s="8"/>
      <c r="C294" s="8"/>
      <c r="D294" s="8"/>
      <c r="E294" s="8"/>
      <c r="F294" s="8"/>
      <c r="G294" s="8"/>
      <c r="H294" s="8"/>
      <c r="I294" s="8"/>
      <c r="J294" s="8"/>
      <c r="K294" s="8"/>
      <c r="L294" s="528"/>
      <c r="M294" s="528"/>
      <c r="N294" s="448"/>
      <c r="O294" s="448"/>
    </row>
    <row r="295" spans="1:15" x14ac:dyDescent="0.2">
      <c r="A295" s="8"/>
      <c r="B295" s="8"/>
      <c r="C295" s="8"/>
      <c r="D295" s="8"/>
      <c r="E295" s="8"/>
      <c r="F295" s="8"/>
      <c r="G295" s="8"/>
      <c r="H295" s="8"/>
      <c r="I295" s="8"/>
      <c r="J295" s="8"/>
      <c r="K295" s="8"/>
      <c r="L295" s="528"/>
      <c r="M295" s="528"/>
      <c r="N295" s="448"/>
      <c r="O295" s="448"/>
    </row>
    <row r="296" spans="1:15" x14ac:dyDescent="0.2">
      <c r="A296" s="8"/>
      <c r="B296" s="8"/>
      <c r="C296" s="8"/>
      <c r="D296" s="8"/>
      <c r="E296" s="8"/>
      <c r="F296" s="8"/>
      <c r="G296" s="8"/>
      <c r="H296" s="8"/>
      <c r="I296" s="8"/>
      <c r="J296" s="8"/>
      <c r="K296" s="8"/>
      <c r="L296" s="528"/>
      <c r="M296" s="528"/>
      <c r="N296" s="448"/>
      <c r="O296" s="448"/>
    </row>
    <row r="297" spans="1:15" x14ac:dyDescent="0.2">
      <c r="A297" s="8"/>
      <c r="B297" s="8"/>
      <c r="C297" s="8"/>
      <c r="D297" s="8"/>
      <c r="E297" s="8"/>
      <c r="F297" s="8"/>
      <c r="G297" s="8"/>
      <c r="H297" s="8"/>
      <c r="I297" s="8"/>
      <c r="J297" s="8"/>
      <c r="K297" s="8"/>
      <c r="L297" s="528"/>
      <c r="M297" s="528"/>
      <c r="N297" s="448"/>
      <c r="O297" s="448"/>
    </row>
    <row r="298" spans="1:15" x14ac:dyDescent="0.2">
      <c r="A298" s="8"/>
      <c r="B298" s="8"/>
      <c r="C298" s="8"/>
      <c r="D298" s="8"/>
      <c r="E298" s="8"/>
      <c r="F298" s="8"/>
      <c r="G298" s="8"/>
      <c r="H298" s="8"/>
      <c r="I298" s="8"/>
      <c r="J298" s="8"/>
      <c r="K298" s="8"/>
      <c r="L298" s="528"/>
      <c r="M298" s="528"/>
      <c r="N298" s="448"/>
      <c r="O298" s="448"/>
    </row>
    <row r="299" spans="1:15" x14ac:dyDescent="0.2">
      <c r="A299" s="8"/>
      <c r="B299" s="8"/>
      <c r="C299" s="8"/>
      <c r="D299" s="8"/>
      <c r="E299" s="8"/>
      <c r="F299" s="8"/>
      <c r="G299" s="8"/>
      <c r="H299" s="8"/>
      <c r="I299" s="8"/>
      <c r="J299" s="8"/>
      <c r="K299" s="8"/>
      <c r="L299" s="528"/>
      <c r="M299" s="528"/>
      <c r="N299" s="448"/>
      <c r="O299" s="448"/>
    </row>
    <row r="300" spans="1:15" x14ac:dyDescent="0.2">
      <c r="A300" s="8"/>
      <c r="B300" s="8"/>
      <c r="C300" s="8"/>
      <c r="D300" s="8"/>
      <c r="E300" s="8"/>
      <c r="F300" s="8"/>
      <c r="G300" s="8"/>
      <c r="H300" s="8"/>
      <c r="I300" s="8"/>
      <c r="J300" s="8"/>
      <c r="K300" s="8"/>
      <c r="L300" s="528"/>
      <c r="M300" s="528"/>
      <c r="N300" s="448"/>
      <c r="O300" s="448"/>
    </row>
    <row r="301" spans="1:15" x14ac:dyDescent="0.2">
      <c r="A301" s="8"/>
      <c r="B301" s="8"/>
      <c r="C301" s="8"/>
      <c r="D301" s="8"/>
      <c r="E301" s="8"/>
      <c r="F301" s="8"/>
      <c r="G301" s="8"/>
      <c r="H301" s="8"/>
      <c r="I301" s="8"/>
      <c r="J301" s="8"/>
      <c r="K301" s="8"/>
      <c r="L301" s="528"/>
      <c r="M301" s="528"/>
      <c r="N301" s="448"/>
      <c r="O301" s="448"/>
    </row>
    <row r="302" spans="1:15" x14ac:dyDescent="0.2">
      <c r="A302" s="8"/>
      <c r="B302" s="8"/>
      <c r="C302" s="8"/>
      <c r="D302" s="8"/>
      <c r="E302" s="8"/>
      <c r="F302" s="8"/>
      <c r="G302" s="8"/>
      <c r="H302" s="8"/>
      <c r="I302" s="8"/>
      <c r="J302" s="8"/>
      <c r="K302" s="8"/>
      <c r="L302" s="528"/>
      <c r="M302" s="528"/>
      <c r="N302" s="448"/>
      <c r="O302" s="448"/>
    </row>
    <row r="303" spans="1:15" x14ac:dyDescent="0.2">
      <c r="A303" s="8"/>
      <c r="B303" s="8"/>
      <c r="C303" s="8"/>
      <c r="D303" s="8"/>
      <c r="E303" s="8"/>
      <c r="F303" s="8"/>
      <c r="G303" s="8"/>
      <c r="H303" s="8"/>
      <c r="I303" s="8"/>
      <c r="J303" s="8"/>
      <c r="K303" s="8"/>
      <c r="L303" s="528"/>
      <c r="M303" s="528"/>
      <c r="N303" s="448"/>
      <c r="O303" s="448"/>
    </row>
    <row r="304" spans="1:15" x14ac:dyDescent="0.2">
      <c r="A304" s="8"/>
      <c r="B304" s="8"/>
      <c r="C304" s="8"/>
      <c r="D304" s="8"/>
      <c r="E304" s="8"/>
      <c r="F304" s="8"/>
      <c r="G304" s="8"/>
      <c r="H304" s="8"/>
      <c r="I304" s="8"/>
      <c r="J304" s="8"/>
      <c r="K304" s="8"/>
      <c r="L304" s="528"/>
      <c r="M304" s="528"/>
      <c r="N304" s="448"/>
      <c r="O304" s="448"/>
    </row>
    <row r="305" spans="1:15" x14ac:dyDescent="0.2">
      <c r="A305" s="8"/>
      <c r="B305" s="8"/>
      <c r="C305" s="8"/>
      <c r="D305" s="8"/>
      <c r="E305" s="8"/>
      <c r="F305" s="8"/>
      <c r="G305" s="8"/>
      <c r="H305" s="8"/>
      <c r="I305" s="8"/>
      <c r="J305" s="8"/>
      <c r="K305" s="8"/>
      <c r="L305" s="528"/>
      <c r="M305" s="528"/>
      <c r="N305" s="448"/>
      <c r="O305" s="448"/>
    </row>
    <row r="306" spans="1:15" x14ac:dyDescent="0.2">
      <c r="A306" s="8"/>
      <c r="B306" s="8"/>
      <c r="C306" s="8"/>
      <c r="D306" s="8"/>
      <c r="E306" s="8"/>
      <c r="F306" s="8"/>
      <c r="G306" s="8"/>
      <c r="H306" s="8"/>
      <c r="I306" s="8"/>
      <c r="J306" s="8"/>
      <c r="K306" s="8"/>
      <c r="L306" s="528"/>
      <c r="M306" s="528"/>
      <c r="N306" s="448"/>
      <c r="O306" s="448"/>
    </row>
    <row r="307" spans="1:15" x14ac:dyDescent="0.2">
      <c r="A307" s="8"/>
      <c r="B307" s="8"/>
      <c r="C307" s="8"/>
      <c r="D307" s="8"/>
      <c r="E307" s="8"/>
      <c r="F307" s="8"/>
      <c r="G307" s="8"/>
      <c r="H307" s="8"/>
      <c r="I307" s="8"/>
      <c r="J307" s="8"/>
      <c r="K307" s="8"/>
      <c r="L307" s="528"/>
      <c r="M307" s="528"/>
      <c r="N307" s="448"/>
      <c r="O307" s="448"/>
    </row>
    <row r="308" spans="1:15" x14ac:dyDescent="0.2">
      <c r="A308" s="8"/>
      <c r="B308" s="8"/>
      <c r="C308" s="8"/>
      <c r="D308" s="8"/>
      <c r="E308" s="8"/>
      <c r="F308" s="8"/>
      <c r="G308" s="8"/>
      <c r="H308" s="8"/>
      <c r="I308" s="8"/>
      <c r="J308" s="8"/>
      <c r="K308" s="8"/>
      <c r="L308" s="528"/>
      <c r="M308" s="528"/>
      <c r="N308" s="448"/>
      <c r="O308" s="448"/>
    </row>
    <row r="309" spans="1:15" x14ac:dyDescent="0.2">
      <c r="A309" s="8"/>
      <c r="B309" s="8"/>
      <c r="C309" s="8"/>
      <c r="D309" s="8"/>
      <c r="E309" s="8"/>
      <c r="F309" s="8"/>
      <c r="G309" s="8"/>
      <c r="H309" s="8"/>
      <c r="I309" s="8"/>
      <c r="J309" s="8"/>
      <c r="K309" s="8"/>
      <c r="L309" s="528"/>
      <c r="M309" s="528"/>
      <c r="N309" s="448"/>
      <c r="O309" s="448"/>
    </row>
    <row r="310" spans="1:15" x14ac:dyDescent="0.2">
      <c r="A310" s="8"/>
      <c r="B310" s="8"/>
      <c r="C310" s="8"/>
      <c r="D310" s="8"/>
      <c r="E310" s="8"/>
      <c r="F310" s="8"/>
      <c r="G310" s="8"/>
      <c r="H310" s="8"/>
      <c r="I310" s="8"/>
      <c r="J310" s="8"/>
      <c r="K310" s="8"/>
      <c r="L310" s="528"/>
      <c r="M310" s="528"/>
      <c r="N310" s="448"/>
      <c r="O310" s="448"/>
    </row>
    <row r="311" spans="1:15" x14ac:dyDescent="0.2">
      <c r="A311" s="8"/>
      <c r="B311" s="8"/>
      <c r="C311" s="8"/>
      <c r="D311" s="8"/>
      <c r="E311" s="8"/>
      <c r="F311" s="8"/>
      <c r="G311" s="8"/>
      <c r="H311" s="8"/>
      <c r="I311" s="8"/>
      <c r="J311" s="8"/>
      <c r="K311" s="8"/>
      <c r="L311" s="528"/>
      <c r="M311" s="528"/>
      <c r="N311" s="448"/>
      <c r="O311" s="448"/>
    </row>
    <row r="312" spans="1:15" x14ac:dyDescent="0.2">
      <c r="A312" s="8"/>
      <c r="B312" s="8"/>
      <c r="C312" s="8"/>
      <c r="D312" s="8"/>
      <c r="E312" s="8"/>
      <c r="F312" s="8"/>
      <c r="G312" s="8"/>
      <c r="H312" s="8"/>
      <c r="I312" s="8"/>
      <c r="J312" s="8"/>
      <c r="K312" s="8"/>
      <c r="L312" s="528"/>
      <c r="M312" s="528"/>
      <c r="N312" s="448"/>
      <c r="O312" s="448"/>
    </row>
    <row r="313" spans="1:15" x14ac:dyDescent="0.2">
      <c r="A313" s="8"/>
      <c r="B313" s="8"/>
      <c r="C313" s="8"/>
      <c r="D313" s="8"/>
      <c r="E313" s="8"/>
      <c r="F313" s="8"/>
      <c r="G313" s="8"/>
      <c r="H313" s="8"/>
      <c r="I313" s="8"/>
      <c r="J313" s="8"/>
      <c r="K313" s="8"/>
      <c r="L313" s="528"/>
      <c r="M313" s="528"/>
      <c r="N313" s="448"/>
      <c r="O313" s="448"/>
    </row>
    <row r="314" spans="1:15" x14ac:dyDescent="0.2">
      <c r="A314" s="8"/>
      <c r="B314" s="8"/>
      <c r="C314" s="8"/>
      <c r="D314" s="8"/>
      <c r="E314" s="8"/>
      <c r="F314" s="8"/>
      <c r="G314" s="8"/>
      <c r="H314" s="8"/>
      <c r="I314" s="8"/>
      <c r="J314" s="8"/>
      <c r="K314" s="8"/>
      <c r="L314" s="528"/>
      <c r="M314" s="528"/>
      <c r="N314" s="448"/>
      <c r="O314" s="448"/>
    </row>
    <row r="315" spans="1:15" x14ac:dyDescent="0.2">
      <c r="A315" s="8"/>
      <c r="B315" s="8"/>
      <c r="C315" s="8"/>
      <c r="D315" s="8"/>
      <c r="E315" s="8"/>
      <c r="F315" s="8"/>
      <c r="G315" s="8"/>
      <c r="H315" s="8"/>
      <c r="I315" s="8"/>
      <c r="J315" s="8"/>
      <c r="K315" s="8"/>
      <c r="L315" s="528"/>
      <c r="M315" s="528"/>
      <c r="N315" s="448"/>
      <c r="O315" s="448"/>
    </row>
    <row r="316" spans="1:15" x14ac:dyDescent="0.2">
      <c r="A316" s="8"/>
      <c r="B316" s="8"/>
      <c r="C316" s="8"/>
      <c r="D316" s="8"/>
      <c r="E316" s="8"/>
      <c r="F316" s="8"/>
      <c r="G316" s="8"/>
      <c r="H316" s="8"/>
      <c r="I316" s="8"/>
      <c r="J316" s="8"/>
      <c r="K316" s="8"/>
      <c r="L316" s="528"/>
      <c r="M316" s="528"/>
      <c r="N316" s="448"/>
      <c r="O316" s="448"/>
    </row>
    <row r="317" spans="1:15" x14ac:dyDescent="0.2">
      <c r="A317" s="8"/>
      <c r="B317" s="8"/>
      <c r="C317" s="8"/>
      <c r="D317" s="8"/>
      <c r="E317" s="8"/>
      <c r="F317" s="8"/>
      <c r="G317" s="8"/>
      <c r="H317" s="8"/>
      <c r="I317" s="8"/>
      <c r="J317" s="8"/>
      <c r="K317" s="8"/>
      <c r="L317" s="528"/>
      <c r="M317" s="528"/>
      <c r="N317" s="448"/>
      <c r="O317" s="448"/>
    </row>
    <row r="318" spans="1:15" x14ac:dyDescent="0.2">
      <c r="A318" s="8"/>
      <c r="B318" s="8"/>
      <c r="C318" s="8"/>
      <c r="D318" s="8"/>
      <c r="E318" s="8"/>
      <c r="F318" s="8"/>
      <c r="G318" s="8"/>
      <c r="H318" s="8"/>
      <c r="I318" s="8"/>
      <c r="J318" s="8"/>
      <c r="K318" s="8"/>
      <c r="L318" s="528"/>
      <c r="M318" s="528"/>
      <c r="N318" s="448"/>
      <c r="O318" s="448"/>
    </row>
    <row r="319" spans="1:15" x14ac:dyDescent="0.2">
      <c r="A319" s="8"/>
      <c r="B319" s="8"/>
      <c r="C319" s="8"/>
      <c r="D319" s="8"/>
      <c r="E319" s="8"/>
      <c r="F319" s="8"/>
      <c r="G319" s="8"/>
      <c r="H319" s="8"/>
      <c r="I319" s="8"/>
      <c r="J319" s="8"/>
      <c r="K319" s="8"/>
      <c r="L319" s="528"/>
      <c r="M319" s="528"/>
      <c r="N319" s="448"/>
      <c r="O319" s="448"/>
    </row>
    <row r="320" spans="1:15" x14ac:dyDescent="0.2">
      <c r="A320" s="8"/>
      <c r="B320" s="8"/>
      <c r="C320" s="8"/>
      <c r="D320" s="8"/>
      <c r="E320" s="8"/>
      <c r="F320" s="8"/>
      <c r="G320" s="8"/>
      <c r="H320" s="8"/>
      <c r="I320" s="8"/>
      <c r="J320" s="8"/>
      <c r="K320" s="8"/>
      <c r="L320" s="528"/>
      <c r="M320" s="528"/>
      <c r="N320" s="448"/>
      <c r="O320" s="448"/>
    </row>
    <row r="321" spans="1:15" x14ac:dyDescent="0.2">
      <c r="A321" s="8"/>
      <c r="B321" s="8"/>
      <c r="C321" s="8"/>
      <c r="D321" s="8"/>
      <c r="E321" s="8"/>
      <c r="F321" s="8"/>
      <c r="G321" s="8"/>
      <c r="H321" s="8"/>
      <c r="I321" s="8"/>
      <c r="J321" s="8"/>
      <c r="K321" s="8"/>
      <c r="L321" s="528"/>
      <c r="M321" s="528"/>
      <c r="N321" s="448"/>
      <c r="O321" s="448"/>
    </row>
    <row r="322" spans="1:15" x14ac:dyDescent="0.2">
      <c r="A322" s="8"/>
      <c r="B322" s="8"/>
      <c r="C322" s="8"/>
      <c r="D322" s="8"/>
      <c r="E322" s="8"/>
      <c r="F322" s="8"/>
      <c r="G322" s="8"/>
      <c r="H322" s="8"/>
      <c r="I322" s="8"/>
      <c r="J322" s="8"/>
      <c r="K322" s="8"/>
      <c r="L322" s="528"/>
      <c r="M322" s="528"/>
      <c r="N322" s="448"/>
      <c r="O322" s="448"/>
    </row>
    <row r="323" spans="1:15" x14ac:dyDescent="0.2">
      <c r="A323" s="8"/>
      <c r="B323" s="8"/>
      <c r="C323" s="8"/>
      <c r="D323" s="8"/>
      <c r="E323" s="8"/>
      <c r="F323" s="8"/>
      <c r="G323" s="8"/>
      <c r="H323" s="8"/>
      <c r="I323" s="8"/>
      <c r="J323" s="8"/>
      <c r="K323" s="8"/>
      <c r="L323" s="528"/>
      <c r="M323" s="528"/>
      <c r="N323" s="448"/>
      <c r="O323" s="448"/>
    </row>
    <row r="324" spans="1:15" x14ac:dyDescent="0.2">
      <c r="A324" s="8"/>
      <c r="B324" s="8"/>
      <c r="C324" s="8"/>
      <c r="D324" s="8"/>
      <c r="E324" s="8"/>
      <c r="F324" s="8"/>
      <c r="G324" s="8"/>
      <c r="H324" s="8"/>
      <c r="I324" s="8"/>
      <c r="J324" s="8"/>
      <c r="K324" s="8"/>
      <c r="L324" s="528"/>
      <c r="M324" s="528"/>
      <c r="N324" s="448"/>
      <c r="O324" s="448"/>
    </row>
    <row r="325" spans="1:15" x14ac:dyDescent="0.2">
      <c r="A325" s="8"/>
      <c r="B325" s="8"/>
      <c r="C325" s="8"/>
      <c r="D325" s="8"/>
      <c r="E325" s="8"/>
      <c r="F325" s="8"/>
      <c r="G325" s="8"/>
      <c r="H325" s="8"/>
      <c r="I325" s="8"/>
      <c r="J325" s="8"/>
      <c r="K325" s="8"/>
      <c r="L325" s="528"/>
      <c r="M325" s="528"/>
      <c r="N325" s="448"/>
      <c r="O325" s="448"/>
    </row>
    <row r="326" spans="1:15" x14ac:dyDescent="0.2">
      <c r="A326" s="8"/>
      <c r="B326" s="8"/>
      <c r="C326" s="8"/>
      <c r="D326" s="8"/>
      <c r="E326" s="8"/>
      <c r="F326" s="8"/>
      <c r="G326" s="8"/>
      <c r="H326" s="8"/>
      <c r="I326" s="8"/>
      <c r="J326" s="8"/>
      <c r="K326" s="8"/>
      <c r="L326" s="528"/>
      <c r="M326" s="528"/>
      <c r="N326" s="448"/>
      <c r="O326" s="448"/>
    </row>
    <row r="327" spans="1:15" x14ac:dyDescent="0.2">
      <c r="A327" s="8"/>
      <c r="B327" s="8"/>
      <c r="C327" s="8"/>
      <c r="D327" s="8"/>
      <c r="E327" s="8"/>
      <c r="F327" s="8"/>
      <c r="G327" s="8"/>
      <c r="H327" s="8"/>
      <c r="I327" s="8"/>
      <c r="J327" s="8"/>
      <c r="K327" s="8"/>
      <c r="L327" s="528"/>
      <c r="M327" s="528"/>
      <c r="N327" s="448"/>
      <c r="O327" s="448"/>
    </row>
    <row r="328" spans="1:15" x14ac:dyDescent="0.2">
      <c r="A328" s="8"/>
      <c r="B328" s="8"/>
      <c r="C328" s="8"/>
      <c r="D328" s="8"/>
      <c r="E328" s="8"/>
      <c r="F328" s="8"/>
      <c r="G328" s="8"/>
      <c r="H328" s="8"/>
      <c r="I328" s="8"/>
      <c r="J328" s="8"/>
      <c r="K328" s="8"/>
      <c r="L328" s="528"/>
      <c r="M328" s="528"/>
      <c r="N328" s="448"/>
      <c r="O328" s="448"/>
    </row>
    <row r="329" spans="1:15" x14ac:dyDescent="0.2">
      <c r="A329" s="8"/>
      <c r="B329" s="8"/>
      <c r="C329" s="8"/>
      <c r="D329" s="8"/>
      <c r="E329" s="8"/>
      <c r="F329" s="8"/>
      <c r="G329" s="8"/>
      <c r="H329" s="8"/>
      <c r="I329" s="8"/>
      <c r="J329" s="8"/>
      <c r="K329" s="8"/>
      <c r="L329" s="528"/>
      <c r="M329" s="528"/>
      <c r="N329" s="448"/>
      <c r="O329" s="448"/>
    </row>
    <row r="330" spans="1:15" x14ac:dyDescent="0.2">
      <c r="A330" s="8"/>
      <c r="B330" s="8"/>
      <c r="C330" s="8"/>
      <c r="D330" s="8"/>
      <c r="E330" s="8"/>
      <c r="F330" s="8"/>
      <c r="G330" s="8"/>
      <c r="H330" s="8"/>
      <c r="I330" s="8"/>
      <c r="J330" s="8"/>
      <c r="K330" s="8"/>
      <c r="L330" s="528"/>
      <c r="M330" s="528"/>
      <c r="N330" s="448"/>
      <c r="O330" s="448"/>
    </row>
    <row r="331" spans="1:15" x14ac:dyDescent="0.2">
      <c r="A331" s="8"/>
      <c r="B331" s="8"/>
      <c r="C331" s="8"/>
      <c r="D331" s="8"/>
      <c r="E331" s="8"/>
      <c r="F331" s="8"/>
      <c r="G331" s="8"/>
      <c r="H331" s="8"/>
      <c r="I331" s="8"/>
      <c r="J331" s="8"/>
      <c r="K331" s="8"/>
      <c r="L331" s="528"/>
      <c r="M331" s="528"/>
      <c r="N331" s="448"/>
      <c r="O331" s="448"/>
    </row>
    <row r="332" spans="1:15" x14ac:dyDescent="0.2">
      <c r="A332" s="8"/>
      <c r="B332" s="8"/>
      <c r="C332" s="8"/>
      <c r="D332" s="8"/>
      <c r="E332" s="8"/>
      <c r="F332" s="8"/>
      <c r="G332" s="8"/>
      <c r="H332" s="8"/>
      <c r="I332" s="8"/>
      <c r="J332" s="8"/>
      <c r="K332" s="8"/>
      <c r="L332" s="528"/>
      <c r="M332" s="528"/>
      <c r="N332" s="448"/>
      <c r="O332" s="448"/>
    </row>
    <row r="333" spans="1:15" x14ac:dyDescent="0.2">
      <c r="A333" s="8"/>
      <c r="B333" s="8"/>
      <c r="C333" s="8"/>
      <c r="D333" s="8"/>
      <c r="E333" s="8"/>
      <c r="F333" s="8"/>
      <c r="G333" s="8"/>
      <c r="H333" s="8"/>
      <c r="I333" s="8"/>
      <c r="J333" s="8"/>
      <c r="K333" s="8"/>
      <c r="L333" s="528"/>
      <c r="M333" s="528"/>
      <c r="N333" s="448"/>
      <c r="O333" s="448"/>
    </row>
    <row r="334" spans="1:15" x14ac:dyDescent="0.2">
      <c r="A334" s="8"/>
      <c r="B334" s="8"/>
      <c r="C334" s="8"/>
      <c r="D334" s="8"/>
      <c r="E334" s="8"/>
      <c r="F334" s="8"/>
      <c r="G334" s="8"/>
      <c r="H334" s="8"/>
      <c r="I334" s="8"/>
      <c r="J334" s="8"/>
      <c r="K334" s="8"/>
      <c r="L334" s="528"/>
      <c r="M334" s="528"/>
      <c r="N334" s="448"/>
      <c r="O334" s="448"/>
    </row>
    <row r="335" spans="1:15" x14ac:dyDescent="0.2">
      <c r="A335" s="8"/>
      <c r="B335" s="8"/>
      <c r="C335" s="8"/>
      <c r="D335" s="8"/>
      <c r="E335" s="8"/>
      <c r="F335" s="8"/>
      <c r="G335" s="8"/>
      <c r="H335" s="8"/>
      <c r="I335" s="8"/>
      <c r="J335" s="8"/>
      <c r="K335" s="8"/>
      <c r="L335" s="528"/>
      <c r="M335" s="528"/>
      <c r="N335" s="448"/>
      <c r="O335" s="448"/>
    </row>
    <row r="336" spans="1:15" x14ac:dyDescent="0.2">
      <c r="A336" s="8"/>
      <c r="B336" s="8"/>
      <c r="C336" s="8"/>
      <c r="D336" s="8"/>
      <c r="E336" s="8"/>
      <c r="F336" s="8"/>
      <c r="G336" s="8"/>
      <c r="H336" s="8"/>
      <c r="I336" s="8"/>
      <c r="J336" s="8"/>
      <c r="K336" s="8"/>
      <c r="L336" s="528"/>
      <c r="M336" s="528"/>
      <c r="N336" s="448"/>
      <c r="O336" s="448"/>
    </row>
    <row r="337" spans="1:15" x14ac:dyDescent="0.2">
      <c r="A337" s="8"/>
      <c r="B337" s="8"/>
      <c r="C337" s="8"/>
      <c r="D337" s="8"/>
      <c r="E337" s="8"/>
      <c r="F337" s="8"/>
      <c r="G337" s="8"/>
      <c r="H337" s="8"/>
      <c r="I337" s="8"/>
      <c r="J337" s="8"/>
      <c r="K337" s="8"/>
      <c r="L337" s="528"/>
      <c r="M337" s="528"/>
      <c r="N337" s="448"/>
      <c r="O337" s="448"/>
    </row>
    <row r="338" spans="1:15" x14ac:dyDescent="0.2">
      <c r="A338" s="8"/>
      <c r="B338" s="8"/>
      <c r="C338" s="8"/>
      <c r="D338" s="8"/>
      <c r="E338" s="8"/>
      <c r="F338" s="8"/>
      <c r="G338" s="8"/>
      <c r="H338" s="8"/>
      <c r="I338" s="8"/>
      <c r="J338" s="8"/>
      <c r="K338" s="8"/>
      <c r="L338" s="528"/>
      <c r="M338" s="528"/>
      <c r="N338" s="448"/>
      <c r="O338" s="448"/>
    </row>
    <row r="339" spans="1:15" x14ac:dyDescent="0.2">
      <c r="A339" s="8"/>
      <c r="B339" s="8"/>
      <c r="C339" s="8"/>
      <c r="D339" s="8"/>
      <c r="E339" s="8"/>
      <c r="F339" s="8"/>
      <c r="G339" s="8"/>
      <c r="H339" s="8"/>
      <c r="I339" s="8"/>
      <c r="J339" s="8"/>
      <c r="K339" s="8"/>
      <c r="L339" s="528"/>
      <c r="M339" s="528"/>
      <c r="N339" s="448"/>
      <c r="O339" s="448"/>
    </row>
    <row r="340" spans="1:15" x14ac:dyDescent="0.2">
      <c r="A340" s="8"/>
      <c r="B340" s="8"/>
      <c r="C340" s="8"/>
      <c r="D340" s="8"/>
      <c r="E340" s="8"/>
      <c r="F340" s="8"/>
      <c r="G340" s="8"/>
      <c r="H340" s="8"/>
      <c r="I340" s="8"/>
      <c r="J340" s="8"/>
      <c r="K340" s="8"/>
      <c r="L340" s="528"/>
      <c r="M340" s="528"/>
      <c r="N340" s="448"/>
      <c r="O340" s="448"/>
    </row>
    <row r="341" spans="1:15" x14ac:dyDescent="0.2">
      <c r="A341" s="8"/>
      <c r="B341" s="8"/>
      <c r="C341" s="8"/>
      <c r="D341" s="8"/>
      <c r="E341" s="8"/>
      <c r="F341" s="8"/>
      <c r="G341" s="8"/>
      <c r="H341" s="8"/>
      <c r="I341" s="8"/>
      <c r="J341" s="8"/>
      <c r="K341" s="8"/>
      <c r="L341" s="528"/>
      <c r="M341" s="528"/>
      <c r="N341" s="448"/>
      <c r="O341" s="448"/>
    </row>
    <row r="342" spans="1:15" x14ac:dyDescent="0.2">
      <c r="A342" s="8"/>
      <c r="B342" s="8"/>
      <c r="C342" s="8"/>
      <c r="D342" s="8"/>
      <c r="E342" s="8"/>
      <c r="F342" s="8"/>
      <c r="G342" s="8"/>
      <c r="H342" s="8"/>
      <c r="I342" s="8"/>
      <c r="J342" s="8"/>
      <c r="K342" s="8"/>
      <c r="L342" s="528"/>
      <c r="M342" s="528"/>
      <c r="N342" s="448"/>
      <c r="O342" s="448"/>
    </row>
    <row r="343" spans="1:15" x14ac:dyDescent="0.2">
      <c r="A343" s="8"/>
      <c r="B343" s="8"/>
      <c r="C343" s="8"/>
      <c r="D343" s="8"/>
      <c r="E343" s="8"/>
      <c r="F343" s="8"/>
      <c r="G343" s="8"/>
      <c r="H343" s="8"/>
      <c r="I343" s="8"/>
      <c r="J343" s="8"/>
      <c r="K343" s="8"/>
      <c r="L343" s="528"/>
      <c r="M343" s="528"/>
      <c r="N343" s="448"/>
      <c r="O343" s="448"/>
    </row>
    <row r="344" spans="1:15" x14ac:dyDescent="0.2">
      <c r="A344" s="8"/>
      <c r="B344" s="8"/>
      <c r="C344" s="8"/>
      <c r="D344" s="8"/>
      <c r="E344" s="8"/>
      <c r="F344" s="8"/>
      <c r="G344" s="8"/>
      <c r="H344" s="8"/>
      <c r="I344" s="8"/>
      <c r="J344" s="8"/>
      <c r="K344" s="8"/>
      <c r="L344" s="528"/>
      <c r="M344" s="528"/>
      <c r="N344" s="448"/>
      <c r="O344" s="448"/>
    </row>
    <row r="345" spans="1:15" x14ac:dyDescent="0.2">
      <c r="A345" s="8"/>
      <c r="B345" s="8"/>
      <c r="C345" s="8"/>
      <c r="D345" s="8"/>
      <c r="E345" s="8"/>
      <c r="F345" s="8"/>
      <c r="G345" s="8"/>
      <c r="H345" s="8"/>
      <c r="I345" s="8"/>
      <c r="J345" s="8"/>
      <c r="K345" s="8"/>
      <c r="L345" s="528"/>
      <c r="M345" s="528"/>
      <c r="N345" s="448"/>
      <c r="O345" s="448"/>
    </row>
    <row r="346" spans="1:15" x14ac:dyDescent="0.2">
      <c r="A346" s="8"/>
      <c r="B346" s="8"/>
      <c r="C346" s="8"/>
      <c r="D346" s="8"/>
      <c r="E346" s="8"/>
      <c r="F346" s="8"/>
      <c r="G346" s="8"/>
      <c r="H346" s="8"/>
      <c r="I346" s="8"/>
      <c r="J346" s="8"/>
      <c r="K346" s="8"/>
      <c r="L346" s="528"/>
      <c r="M346" s="528"/>
      <c r="N346" s="448"/>
      <c r="O346" s="448"/>
    </row>
    <row r="347" spans="1:15" x14ac:dyDescent="0.2">
      <c r="A347" s="8"/>
      <c r="B347" s="8"/>
      <c r="C347" s="8"/>
      <c r="D347" s="8"/>
      <c r="E347" s="8"/>
      <c r="F347" s="8"/>
      <c r="G347" s="8"/>
      <c r="H347" s="8"/>
      <c r="I347" s="8"/>
      <c r="J347" s="8"/>
      <c r="K347" s="8"/>
      <c r="L347" s="528"/>
      <c r="M347" s="528"/>
      <c r="N347" s="448"/>
      <c r="O347" s="448"/>
    </row>
    <row r="348" spans="1:15" x14ac:dyDescent="0.2">
      <c r="A348" s="8"/>
      <c r="B348" s="8"/>
      <c r="C348" s="8"/>
      <c r="D348" s="8"/>
      <c r="E348" s="8"/>
      <c r="F348" s="8"/>
      <c r="G348" s="8"/>
      <c r="H348" s="8"/>
      <c r="I348" s="8"/>
      <c r="J348" s="8"/>
      <c r="K348" s="8"/>
      <c r="L348" s="528"/>
      <c r="M348" s="528"/>
      <c r="N348" s="448"/>
      <c r="O348" s="448"/>
    </row>
    <row r="349" spans="1:15" x14ac:dyDescent="0.2">
      <c r="A349" s="8"/>
      <c r="B349" s="8"/>
      <c r="C349" s="8"/>
      <c r="D349" s="8"/>
      <c r="E349" s="8"/>
      <c r="F349" s="8"/>
      <c r="G349" s="8"/>
      <c r="H349" s="8"/>
      <c r="I349" s="8"/>
      <c r="J349" s="8"/>
      <c r="K349" s="8"/>
      <c r="L349" s="528"/>
      <c r="M349" s="528"/>
      <c r="N349" s="448"/>
      <c r="O349" s="448"/>
    </row>
    <row r="350" spans="1:15" x14ac:dyDescent="0.2">
      <c r="A350" s="8"/>
      <c r="B350" s="8"/>
      <c r="C350" s="8"/>
      <c r="D350" s="8"/>
      <c r="E350" s="8"/>
      <c r="F350" s="8"/>
      <c r="G350" s="8"/>
      <c r="H350" s="8"/>
      <c r="I350" s="8"/>
      <c r="J350" s="8"/>
      <c r="K350" s="8"/>
      <c r="L350" s="528"/>
      <c r="M350" s="528"/>
      <c r="N350" s="448"/>
      <c r="O350" s="448"/>
    </row>
    <row r="351" spans="1:15" x14ac:dyDescent="0.2">
      <c r="A351" s="8"/>
      <c r="B351" s="8"/>
      <c r="C351" s="8"/>
      <c r="D351" s="8"/>
      <c r="E351" s="8"/>
      <c r="F351" s="8"/>
      <c r="G351" s="8"/>
      <c r="H351" s="8"/>
      <c r="I351" s="8"/>
      <c r="J351" s="8"/>
      <c r="K351" s="8"/>
      <c r="L351" s="528"/>
      <c r="M351" s="528"/>
      <c r="N351" s="448"/>
      <c r="O351" s="448"/>
    </row>
    <row r="352" spans="1:15" x14ac:dyDescent="0.2">
      <c r="A352" s="8"/>
      <c r="B352" s="8"/>
      <c r="C352" s="8"/>
      <c r="D352" s="8"/>
      <c r="E352" s="8"/>
      <c r="F352" s="8"/>
      <c r="G352" s="8"/>
      <c r="H352" s="8"/>
      <c r="I352" s="8"/>
      <c r="J352" s="8"/>
      <c r="K352" s="8"/>
      <c r="L352" s="528"/>
      <c r="M352" s="528"/>
      <c r="N352" s="448"/>
      <c r="O352" s="448"/>
    </row>
    <row r="353" spans="1:15" x14ac:dyDescent="0.2">
      <c r="A353" s="8"/>
      <c r="B353" s="8"/>
      <c r="C353" s="8"/>
      <c r="D353" s="8"/>
      <c r="E353" s="8"/>
      <c r="F353" s="8"/>
      <c r="G353" s="8"/>
      <c r="H353" s="8"/>
      <c r="I353" s="8"/>
      <c r="J353" s="8"/>
      <c r="K353" s="8"/>
      <c r="L353" s="528"/>
      <c r="M353" s="528"/>
      <c r="N353" s="448"/>
      <c r="O353" s="448"/>
    </row>
    <row r="354" spans="1:15" x14ac:dyDescent="0.2">
      <c r="A354" s="8"/>
      <c r="B354" s="8"/>
      <c r="C354" s="8"/>
      <c r="D354" s="8"/>
      <c r="E354" s="8"/>
      <c r="F354" s="8"/>
      <c r="G354" s="8"/>
      <c r="H354" s="8"/>
      <c r="I354" s="8"/>
      <c r="J354" s="8"/>
      <c r="K354" s="8"/>
      <c r="L354" s="528"/>
      <c r="M354" s="528"/>
      <c r="N354" s="448"/>
      <c r="O354" s="448"/>
    </row>
    <row r="355" spans="1:15" x14ac:dyDescent="0.2">
      <c r="A355" s="8"/>
      <c r="B355" s="8"/>
      <c r="C355" s="8"/>
      <c r="D355" s="8"/>
      <c r="E355" s="8"/>
      <c r="F355" s="8"/>
      <c r="G355" s="8"/>
      <c r="H355" s="8"/>
      <c r="I355" s="8"/>
      <c r="J355" s="8"/>
      <c r="K355" s="8"/>
      <c r="L355" s="528"/>
      <c r="M355" s="528"/>
      <c r="N355" s="448"/>
      <c r="O355" s="448"/>
    </row>
    <row r="356" spans="1:15" x14ac:dyDescent="0.2">
      <c r="A356" s="8"/>
      <c r="B356" s="8"/>
      <c r="C356" s="8"/>
      <c r="D356" s="8"/>
      <c r="E356" s="8"/>
      <c r="F356" s="8"/>
      <c r="G356" s="8"/>
      <c r="H356" s="8"/>
      <c r="I356" s="8"/>
      <c r="J356" s="8"/>
      <c r="K356" s="8"/>
      <c r="L356" s="528"/>
      <c r="M356" s="528"/>
      <c r="N356" s="448"/>
      <c r="O356" s="448"/>
    </row>
    <row r="357" spans="1:15" x14ac:dyDescent="0.2">
      <c r="A357" s="8"/>
      <c r="B357" s="8"/>
      <c r="C357" s="8"/>
      <c r="D357" s="8"/>
      <c r="E357" s="8"/>
      <c r="F357" s="8"/>
      <c r="G357" s="8"/>
      <c r="H357" s="8"/>
      <c r="I357" s="8"/>
      <c r="J357" s="8"/>
      <c r="K357" s="8"/>
      <c r="L357" s="528"/>
      <c r="M357" s="528"/>
      <c r="N357" s="448"/>
      <c r="O357" s="448"/>
    </row>
    <row r="358" spans="1:15" x14ac:dyDescent="0.2">
      <c r="A358" s="8"/>
      <c r="B358" s="8"/>
      <c r="C358" s="8"/>
      <c r="D358" s="8"/>
      <c r="E358" s="8"/>
      <c r="F358" s="8"/>
      <c r="G358" s="8"/>
      <c r="H358" s="8"/>
      <c r="I358" s="8"/>
      <c r="J358" s="8"/>
      <c r="K358" s="8"/>
      <c r="L358" s="528"/>
      <c r="M358" s="528"/>
      <c r="N358" s="448"/>
      <c r="O358" s="448"/>
    </row>
    <row r="359" spans="1:15" x14ac:dyDescent="0.2">
      <c r="A359" s="8"/>
      <c r="B359" s="8"/>
      <c r="C359" s="8"/>
      <c r="D359" s="8"/>
      <c r="E359" s="8"/>
      <c r="F359" s="8"/>
      <c r="G359" s="8"/>
      <c r="H359" s="8"/>
      <c r="I359" s="8"/>
      <c r="J359" s="8"/>
      <c r="K359" s="8"/>
      <c r="L359" s="528"/>
      <c r="M359" s="528"/>
      <c r="N359" s="448"/>
      <c r="O359" s="448"/>
    </row>
    <row r="360" spans="1:15" x14ac:dyDescent="0.2">
      <c r="A360" s="8"/>
      <c r="B360" s="8"/>
      <c r="C360" s="8"/>
      <c r="D360" s="8"/>
      <c r="E360" s="8"/>
      <c r="F360" s="8"/>
      <c r="G360" s="8"/>
      <c r="H360" s="8"/>
      <c r="I360" s="8"/>
      <c r="J360" s="8"/>
      <c r="K360" s="8"/>
      <c r="L360" s="528"/>
      <c r="M360" s="528"/>
      <c r="N360" s="448"/>
      <c r="O360" s="448"/>
    </row>
    <row r="361" spans="1:15" x14ac:dyDescent="0.2">
      <c r="A361" s="8"/>
      <c r="B361" s="8"/>
      <c r="C361" s="8"/>
      <c r="D361" s="8"/>
      <c r="E361" s="8"/>
      <c r="F361" s="8"/>
      <c r="G361" s="8"/>
      <c r="H361" s="8"/>
      <c r="I361" s="8"/>
      <c r="J361" s="8"/>
      <c r="K361" s="8"/>
      <c r="L361" s="528"/>
      <c r="M361" s="528"/>
      <c r="N361" s="448"/>
      <c r="O361" s="448"/>
    </row>
    <row r="362" spans="1:15" x14ac:dyDescent="0.2">
      <c r="A362" s="8"/>
      <c r="B362" s="8"/>
      <c r="C362" s="8"/>
      <c r="D362" s="8"/>
      <c r="E362" s="8"/>
      <c r="F362" s="8"/>
      <c r="G362" s="8"/>
      <c r="H362" s="8"/>
      <c r="I362" s="8"/>
      <c r="J362" s="8"/>
      <c r="K362" s="8"/>
      <c r="L362" s="528"/>
      <c r="M362" s="528"/>
      <c r="N362" s="448"/>
      <c r="O362" s="448"/>
    </row>
    <row r="363" spans="1:15" x14ac:dyDescent="0.2">
      <c r="A363" s="8"/>
      <c r="B363" s="8"/>
      <c r="C363" s="8"/>
      <c r="D363" s="8"/>
      <c r="E363" s="8"/>
      <c r="F363" s="8"/>
      <c r="G363" s="8"/>
      <c r="H363" s="8"/>
      <c r="I363" s="8"/>
      <c r="J363" s="8"/>
      <c r="K363" s="8"/>
      <c r="L363" s="528"/>
      <c r="M363" s="528"/>
      <c r="N363" s="448"/>
      <c r="O363" s="448"/>
    </row>
    <row r="364" spans="1:15" x14ac:dyDescent="0.2">
      <c r="A364" s="8"/>
      <c r="B364" s="8"/>
      <c r="C364" s="8"/>
      <c r="D364" s="8"/>
      <c r="E364" s="8"/>
      <c r="F364" s="8"/>
      <c r="G364" s="8"/>
      <c r="H364" s="8"/>
      <c r="I364" s="8"/>
      <c r="J364" s="8"/>
      <c r="K364" s="8"/>
      <c r="L364" s="528"/>
      <c r="M364" s="528"/>
      <c r="N364" s="448"/>
      <c r="O364" s="448"/>
    </row>
    <row r="365" spans="1:15" x14ac:dyDescent="0.2">
      <c r="A365" s="8"/>
      <c r="B365" s="8"/>
      <c r="C365" s="8"/>
      <c r="D365" s="8"/>
      <c r="E365" s="8"/>
      <c r="F365" s="8"/>
      <c r="G365" s="8"/>
      <c r="H365" s="8"/>
      <c r="I365" s="8"/>
      <c r="J365" s="8"/>
      <c r="K365" s="8"/>
      <c r="L365" s="528"/>
      <c r="M365" s="528"/>
      <c r="N365" s="448"/>
      <c r="O365" s="448"/>
    </row>
    <row r="366" spans="1:15" x14ac:dyDescent="0.2">
      <c r="A366" s="8"/>
      <c r="B366" s="8"/>
      <c r="C366" s="8"/>
      <c r="D366" s="8"/>
      <c r="E366" s="8"/>
      <c r="F366" s="8"/>
      <c r="G366" s="8"/>
      <c r="H366" s="8"/>
      <c r="I366" s="8"/>
      <c r="J366" s="8"/>
      <c r="K366" s="8"/>
      <c r="L366" s="528"/>
      <c r="M366" s="528"/>
      <c r="N366" s="448"/>
      <c r="O366" s="448"/>
    </row>
    <row r="367" spans="1:15" x14ac:dyDescent="0.2">
      <c r="A367" s="8"/>
      <c r="B367" s="8"/>
      <c r="C367" s="8"/>
      <c r="D367" s="8"/>
      <c r="E367" s="8"/>
      <c r="F367" s="8"/>
      <c r="G367" s="8"/>
      <c r="H367" s="8"/>
      <c r="I367" s="8"/>
      <c r="J367" s="8"/>
      <c r="K367" s="8"/>
      <c r="L367" s="528"/>
      <c r="M367" s="528"/>
      <c r="N367" s="448"/>
      <c r="O367" s="448"/>
    </row>
    <row r="368" spans="1:15" x14ac:dyDescent="0.2">
      <c r="A368" s="8"/>
      <c r="B368" s="8"/>
      <c r="C368" s="8"/>
      <c r="D368" s="8"/>
      <c r="E368" s="8"/>
      <c r="F368" s="8"/>
      <c r="G368" s="8"/>
      <c r="H368" s="8"/>
      <c r="I368" s="8"/>
      <c r="J368" s="8"/>
      <c r="K368" s="8"/>
      <c r="L368" s="528"/>
      <c r="M368" s="528"/>
      <c r="N368" s="448"/>
      <c r="O368" s="448"/>
    </row>
    <row r="369" spans="1:15" x14ac:dyDescent="0.2">
      <c r="A369" s="8"/>
      <c r="B369" s="8"/>
      <c r="C369" s="8"/>
      <c r="D369" s="8"/>
      <c r="E369" s="8"/>
      <c r="F369" s="8"/>
      <c r="G369" s="8"/>
      <c r="H369" s="8"/>
      <c r="I369" s="8"/>
      <c r="J369" s="8"/>
      <c r="K369" s="8"/>
      <c r="L369" s="528"/>
      <c r="M369" s="528"/>
      <c r="N369" s="448"/>
      <c r="O369" s="448"/>
    </row>
    <row r="370" spans="1:15" x14ac:dyDescent="0.2">
      <c r="A370" s="8"/>
      <c r="B370" s="8"/>
      <c r="C370" s="8"/>
      <c r="D370" s="8"/>
      <c r="E370" s="8"/>
      <c r="F370" s="8"/>
      <c r="G370" s="8"/>
      <c r="H370" s="8"/>
      <c r="I370" s="8"/>
      <c r="J370" s="8"/>
      <c r="K370" s="8"/>
      <c r="L370" s="528"/>
      <c r="M370" s="528"/>
      <c r="N370" s="448"/>
      <c r="O370" s="448"/>
    </row>
    <row r="371" spans="1:15" x14ac:dyDescent="0.2">
      <c r="A371" s="8"/>
      <c r="B371" s="8"/>
      <c r="C371" s="8"/>
      <c r="D371" s="8"/>
      <c r="E371" s="8"/>
      <c r="F371" s="8"/>
      <c r="G371" s="8"/>
      <c r="H371" s="8"/>
      <c r="I371" s="8"/>
      <c r="J371" s="8"/>
      <c r="K371" s="8"/>
      <c r="L371" s="528"/>
      <c r="M371" s="528"/>
      <c r="N371" s="448"/>
      <c r="O371" s="448"/>
    </row>
    <row r="372" spans="1:15" x14ac:dyDescent="0.2">
      <c r="A372" s="8"/>
      <c r="B372" s="8"/>
      <c r="C372" s="8"/>
      <c r="D372" s="8"/>
      <c r="E372" s="8"/>
      <c r="F372" s="8"/>
      <c r="G372" s="8"/>
      <c r="H372" s="8"/>
      <c r="I372" s="8"/>
      <c r="J372" s="8"/>
      <c r="K372" s="8"/>
      <c r="L372" s="528"/>
      <c r="M372" s="528"/>
      <c r="N372" s="448"/>
      <c r="O372" s="448"/>
    </row>
    <row r="373" spans="1:15" x14ac:dyDescent="0.2">
      <c r="A373" s="8"/>
      <c r="B373" s="8"/>
      <c r="C373" s="8"/>
      <c r="D373" s="8"/>
      <c r="E373" s="8"/>
      <c r="F373" s="8"/>
      <c r="G373" s="8"/>
      <c r="H373" s="8"/>
      <c r="I373" s="8"/>
      <c r="J373" s="8"/>
      <c r="K373" s="8"/>
      <c r="L373" s="528"/>
      <c r="M373" s="528"/>
      <c r="N373" s="448"/>
      <c r="O373" s="448"/>
    </row>
    <row r="374" spans="1:15" x14ac:dyDescent="0.2">
      <c r="A374" s="8"/>
      <c r="B374" s="8"/>
      <c r="C374" s="8"/>
      <c r="D374" s="8"/>
      <c r="E374" s="8"/>
      <c r="F374" s="8"/>
      <c r="G374" s="8"/>
      <c r="H374" s="8"/>
      <c r="I374" s="8"/>
      <c r="J374" s="8"/>
      <c r="K374" s="8"/>
      <c r="L374" s="528"/>
      <c r="M374" s="528"/>
      <c r="N374" s="448"/>
      <c r="O374" s="448"/>
    </row>
    <row r="375" spans="1:15" x14ac:dyDescent="0.2">
      <c r="A375" s="8"/>
      <c r="B375" s="8"/>
      <c r="C375" s="8"/>
      <c r="D375" s="8"/>
      <c r="E375" s="8"/>
      <c r="F375" s="8"/>
      <c r="G375" s="8"/>
      <c r="H375" s="8"/>
      <c r="I375" s="8"/>
      <c r="J375" s="8"/>
      <c r="K375" s="8"/>
      <c r="L375" s="528"/>
      <c r="M375" s="528"/>
      <c r="N375" s="448"/>
      <c r="O375" s="448"/>
    </row>
    <row r="376" spans="1:15" x14ac:dyDescent="0.2">
      <c r="A376" s="8"/>
      <c r="B376" s="8"/>
      <c r="C376" s="8"/>
      <c r="D376" s="8"/>
      <c r="E376" s="8"/>
      <c r="F376" s="8"/>
      <c r="G376" s="8"/>
      <c r="H376" s="8"/>
      <c r="I376" s="8"/>
      <c r="J376" s="8"/>
      <c r="K376" s="8"/>
      <c r="L376" s="528"/>
      <c r="M376" s="528"/>
      <c r="N376" s="448"/>
      <c r="O376" s="448"/>
    </row>
    <row r="377" spans="1:15" x14ac:dyDescent="0.2">
      <c r="A377" s="8"/>
      <c r="B377" s="8"/>
      <c r="C377" s="8"/>
      <c r="D377" s="8"/>
      <c r="E377" s="8"/>
      <c r="F377" s="8"/>
      <c r="G377" s="8"/>
      <c r="H377" s="8"/>
      <c r="I377" s="8"/>
      <c r="J377" s="8"/>
      <c r="K377" s="8"/>
      <c r="L377" s="528"/>
      <c r="M377" s="528"/>
      <c r="N377" s="448"/>
      <c r="O377" s="448"/>
    </row>
    <row r="378" spans="1:15" x14ac:dyDescent="0.2">
      <c r="A378" s="8"/>
      <c r="B378" s="8"/>
      <c r="C378" s="8"/>
      <c r="D378" s="8"/>
      <c r="E378" s="8"/>
      <c r="F378" s="8"/>
      <c r="G378" s="8"/>
      <c r="H378" s="8"/>
      <c r="I378" s="8"/>
      <c r="J378" s="8"/>
      <c r="K378" s="8"/>
      <c r="L378" s="528"/>
      <c r="M378" s="528"/>
      <c r="N378" s="448"/>
      <c r="O378" s="448"/>
    </row>
    <row r="379" spans="1:15" x14ac:dyDescent="0.2">
      <c r="A379" s="8"/>
      <c r="B379" s="8"/>
      <c r="C379" s="8"/>
      <c r="D379" s="8"/>
      <c r="E379" s="8"/>
      <c r="F379" s="8"/>
      <c r="G379" s="8"/>
      <c r="H379" s="8"/>
      <c r="I379" s="8"/>
      <c r="J379" s="8"/>
      <c r="K379" s="8"/>
      <c r="L379" s="528"/>
      <c r="M379" s="528"/>
      <c r="N379" s="448"/>
      <c r="O379" s="448"/>
    </row>
    <row r="380" spans="1:15" x14ac:dyDescent="0.2">
      <c r="A380" s="8"/>
      <c r="B380" s="8"/>
      <c r="C380" s="8"/>
      <c r="D380" s="8"/>
      <c r="E380" s="8"/>
      <c r="F380" s="8"/>
      <c r="G380" s="8"/>
      <c r="H380" s="8"/>
      <c r="I380" s="8"/>
      <c r="J380" s="8"/>
      <c r="K380" s="8"/>
      <c r="L380" s="528"/>
      <c r="M380" s="528"/>
      <c r="N380" s="448"/>
      <c r="O380" s="448"/>
    </row>
    <row r="381" spans="1:15" x14ac:dyDescent="0.2">
      <c r="A381" s="8"/>
      <c r="B381" s="8"/>
      <c r="C381" s="8"/>
      <c r="D381" s="8"/>
      <c r="E381" s="8"/>
      <c r="F381" s="8"/>
      <c r="G381" s="8"/>
      <c r="H381" s="8"/>
      <c r="I381" s="8"/>
      <c r="J381" s="8"/>
      <c r="K381" s="8"/>
      <c r="L381" s="528"/>
      <c r="M381" s="528"/>
      <c r="N381" s="448"/>
      <c r="O381" s="448"/>
    </row>
    <row r="382" spans="1:15" x14ac:dyDescent="0.2">
      <c r="A382" s="8"/>
      <c r="B382" s="8"/>
      <c r="C382" s="8"/>
      <c r="D382" s="8"/>
      <c r="E382" s="8"/>
      <c r="F382" s="8"/>
      <c r="G382" s="8"/>
      <c r="H382" s="8"/>
      <c r="I382" s="8"/>
      <c r="J382" s="8"/>
      <c r="K382" s="8"/>
      <c r="L382" s="528"/>
      <c r="M382" s="528"/>
      <c r="N382" s="448"/>
      <c r="O382" s="448"/>
    </row>
    <row r="383" spans="1:15" x14ac:dyDescent="0.2">
      <c r="A383" s="8"/>
      <c r="B383" s="8"/>
      <c r="C383" s="8"/>
      <c r="D383" s="8"/>
      <c r="E383" s="8"/>
      <c r="F383" s="8"/>
      <c r="G383" s="8"/>
      <c r="H383" s="8"/>
      <c r="I383" s="8"/>
      <c r="J383" s="8"/>
      <c r="K383" s="8"/>
      <c r="L383" s="528"/>
      <c r="M383" s="528"/>
      <c r="N383" s="448"/>
      <c r="O383" s="448"/>
    </row>
    <row r="384" spans="1:15" x14ac:dyDescent="0.2">
      <c r="A384" s="8"/>
      <c r="B384" s="8"/>
      <c r="C384" s="8"/>
      <c r="D384" s="8"/>
      <c r="E384" s="8"/>
      <c r="F384" s="8"/>
      <c r="G384" s="8"/>
      <c r="H384" s="8"/>
      <c r="I384" s="8"/>
      <c r="J384" s="8"/>
      <c r="K384" s="8"/>
      <c r="L384" s="528"/>
      <c r="M384" s="528"/>
      <c r="N384" s="448"/>
      <c r="O384" s="448"/>
    </row>
    <row r="385" spans="1:15" x14ac:dyDescent="0.2">
      <c r="A385" s="8"/>
      <c r="B385" s="8"/>
      <c r="C385" s="8"/>
      <c r="D385" s="8"/>
      <c r="E385" s="8"/>
      <c r="F385" s="8"/>
      <c r="G385" s="8"/>
      <c r="H385" s="8"/>
      <c r="I385" s="8"/>
      <c r="J385" s="8"/>
      <c r="K385" s="8"/>
      <c r="L385" s="528"/>
      <c r="M385" s="528"/>
      <c r="N385" s="448"/>
      <c r="O385" s="448"/>
    </row>
    <row r="386" spans="1:15" x14ac:dyDescent="0.2">
      <c r="A386" s="8"/>
      <c r="B386" s="8"/>
      <c r="C386" s="8"/>
      <c r="D386" s="8"/>
      <c r="E386" s="8"/>
      <c r="F386" s="8"/>
      <c r="G386" s="8"/>
      <c r="H386" s="8"/>
      <c r="I386" s="8"/>
      <c r="J386" s="8"/>
      <c r="K386" s="8"/>
      <c r="L386" s="528"/>
      <c r="M386" s="528"/>
      <c r="N386" s="448"/>
      <c r="O386" s="448"/>
    </row>
    <row r="387" spans="1:15" x14ac:dyDescent="0.2">
      <c r="A387" s="8"/>
      <c r="B387" s="8"/>
      <c r="C387" s="8"/>
      <c r="D387" s="8"/>
      <c r="E387" s="8"/>
      <c r="F387" s="8"/>
      <c r="G387" s="8"/>
      <c r="H387" s="8"/>
      <c r="I387" s="8"/>
      <c r="J387" s="8"/>
      <c r="K387" s="8"/>
      <c r="L387" s="528"/>
      <c r="M387" s="528"/>
      <c r="N387" s="448"/>
      <c r="O387" s="448"/>
    </row>
    <row r="388" spans="1:15" x14ac:dyDescent="0.2">
      <c r="A388" s="8"/>
      <c r="B388" s="8"/>
      <c r="C388" s="8"/>
      <c r="D388" s="8"/>
      <c r="E388" s="8"/>
      <c r="F388" s="8"/>
      <c r="G388" s="8"/>
      <c r="H388" s="8"/>
      <c r="I388" s="8"/>
      <c r="J388" s="8"/>
      <c r="K388" s="8"/>
      <c r="L388" s="528"/>
      <c r="M388" s="528"/>
      <c r="N388" s="448"/>
      <c r="O388" s="448"/>
    </row>
    <row r="389" spans="1:15" x14ac:dyDescent="0.2">
      <c r="A389" s="8"/>
      <c r="B389" s="8"/>
      <c r="C389" s="8"/>
      <c r="D389" s="8"/>
      <c r="E389" s="8"/>
      <c r="F389" s="8"/>
      <c r="G389" s="8"/>
      <c r="H389" s="8"/>
      <c r="I389" s="8"/>
      <c r="J389" s="8"/>
      <c r="K389" s="8"/>
      <c r="L389" s="528"/>
      <c r="M389" s="528"/>
      <c r="N389" s="448"/>
      <c r="O389" s="448"/>
    </row>
    <row r="390" spans="1:15" x14ac:dyDescent="0.2">
      <c r="A390" s="8"/>
      <c r="B390" s="8"/>
      <c r="C390" s="8"/>
      <c r="D390" s="8"/>
      <c r="E390" s="8"/>
      <c r="F390" s="8"/>
      <c r="G390" s="8"/>
      <c r="H390" s="8"/>
      <c r="I390" s="8"/>
      <c r="J390" s="8"/>
      <c r="K390" s="8"/>
      <c r="L390" s="528"/>
      <c r="M390" s="528"/>
      <c r="N390" s="448"/>
      <c r="O390" s="448"/>
    </row>
    <row r="391" spans="1:15" x14ac:dyDescent="0.2">
      <c r="A391" s="8"/>
      <c r="B391" s="8"/>
      <c r="C391" s="8"/>
      <c r="D391" s="8"/>
      <c r="E391" s="8"/>
      <c r="F391" s="8"/>
      <c r="G391" s="8"/>
      <c r="H391" s="8"/>
      <c r="I391" s="8"/>
      <c r="J391" s="8"/>
      <c r="K391" s="8"/>
      <c r="L391" s="528"/>
      <c r="M391" s="528"/>
      <c r="N391" s="448"/>
      <c r="O391" s="448"/>
    </row>
    <row r="392" spans="1:15" x14ac:dyDescent="0.2">
      <c r="A392" s="8"/>
      <c r="B392" s="8"/>
      <c r="C392" s="8"/>
      <c r="D392" s="8"/>
      <c r="E392" s="8"/>
      <c r="F392" s="8"/>
      <c r="G392" s="8"/>
      <c r="H392" s="8"/>
      <c r="I392" s="8"/>
      <c r="J392" s="8"/>
      <c r="K392" s="8"/>
      <c r="L392" s="528"/>
      <c r="M392" s="528"/>
      <c r="N392" s="448"/>
      <c r="O392" s="448"/>
    </row>
    <row r="393" spans="1:15" x14ac:dyDescent="0.2">
      <c r="A393" s="8"/>
      <c r="B393" s="8"/>
      <c r="C393" s="8"/>
      <c r="D393" s="8"/>
      <c r="E393" s="8"/>
      <c r="F393" s="8"/>
      <c r="G393" s="8"/>
      <c r="H393" s="8"/>
      <c r="I393" s="8"/>
      <c r="J393" s="8"/>
      <c r="K393" s="8"/>
      <c r="L393" s="528"/>
      <c r="M393" s="528"/>
      <c r="N393" s="448"/>
      <c r="O393" s="448"/>
    </row>
    <row r="394" spans="1:15" x14ac:dyDescent="0.2">
      <c r="A394" s="8"/>
      <c r="B394" s="8"/>
      <c r="C394" s="8"/>
      <c r="D394" s="8"/>
      <c r="E394" s="8"/>
      <c r="F394" s="8"/>
      <c r="G394" s="8"/>
      <c r="H394" s="8"/>
      <c r="I394" s="8"/>
      <c r="J394" s="8"/>
      <c r="K394" s="8"/>
      <c r="L394" s="528"/>
      <c r="M394" s="528"/>
      <c r="N394" s="448"/>
      <c r="O394" s="448"/>
    </row>
    <row r="395" spans="1:15" x14ac:dyDescent="0.2">
      <c r="A395" s="8"/>
      <c r="B395" s="8"/>
      <c r="C395" s="8"/>
      <c r="D395" s="8"/>
      <c r="E395" s="8"/>
      <c r="F395" s="8"/>
      <c r="G395" s="8"/>
      <c r="H395" s="8"/>
      <c r="I395" s="8"/>
      <c r="J395" s="8"/>
      <c r="K395" s="8"/>
      <c r="L395" s="528"/>
      <c r="M395" s="528"/>
      <c r="N395" s="448"/>
      <c r="O395" s="448"/>
    </row>
    <row r="396" spans="1:15" x14ac:dyDescent="0.2">
      <c r="A396" s="8"/>
      <c r="B396" s="8"/>
      <c r="C396" s="8"/>
      <c r="D396" s="8"/>
      <c r="E396" s="8"/>
      <c r="F396" s="8"/>
      <c r="G396" s="8"/>
      <c r="H396" s="8"/>
      <c r="I396" s="8"/>
      <c r="J396" s="8"/>
      <c r="K396" s="8"/>
      <c r="L396" s="528"/>
      <c r="M396" s="528"/>
      <c r="N396" s="448"/>
      <c r="O396" s="448"/>
    </row>
    <row r="397" spans="1:15" x14ac:dyDescent="0.2">
      <c r="A397" s="8"/>
      <c r="B397" s="8"/>
      <c r="C397" s="8"/>
      <c r="D397" s="8"/>
      <c r="E397" s="8"/>
      <c r="F397" s="8"/>
      <c r="G397" s="8"/>
      <c r="H397" s="8"/>
      <c r="I397" s="8"/>
      <c r="J397" s="8"/>
      <c r="K397" s="8"/>
      <c r="L397" s="528"/>
      <c r="M397" s="528"/>
      <c r="N397" s="448"/>
      <c r="O397" s="448"/>
    </row>
    <row r="398" spans="1:15" x14ac:dyDescent="0.2">
      <c r="A398" s="8"/>
      <c r="B398" s="8"/>
      <c r="C398" s="8"/>
      <c r="D398" s="8"/>
      <c r="E398" s="8"/>
      <c r="F398" s="8"/>
      <c r="G398" s="8"/>
      <c r="H398" s="8"/>
      <c r="I398" s="8"/>
      <c r="J398" s="8"/>
      <c r="K398" s="8"/>
      <c r="L398" s="528"/>
      <c r="M398" s="528"/>
      <c r="N398" s="448"/>
      <c r="O398" s="448"/>
    </row>
    <row r="399" spans="1:15" x14ac:dyDescent="0.2">
      <c r="A399" s="8"/>
      <c r="B399" s="8"/>
      <c r="C399" s="8"/>
      <c r="D399" s="8"/>
      <c r="E399" s="8"/>
      <c r="F399" s="8"/>
      <c r="G399" s="8"/>
      <c r="H399" s="8"/>
      <c r="I399" s="8"/>
      <c r="J399" s="8"/>
      <c r="K399" s="8"/>
      <c r="L399" s="528"/>
      <c r="M399" s="528"/>
      <c r="N399" s="448"/>
      <c r="O399" s="448"/>
    </row>
    <row r="400" spans="1:15" x14ac:dyDescent="0.2">
      <c r="A400" s="8"/>
      <c r="B400" s="8"/>
      <c r="C400" s="8"/>
      <c r="D400" s="8"/>
      <c r="E400" s="8"/>
      <c r="F400" s="8"/>
      <c r="G400" s="8"/>
      <c r="H400" s="8"/>
      <c r="I400" s="8"/>
      <c r="J400" s="8"/>
      <c r="K400" s="8"/>
      <c r="L400" s="528"/>
      <c r="M400" s="528"/>
      <c r="N400" s="448"/>
      <c r="O400" s="448"/>
    </row>
    <row r="401" spans="1:15" x14ac:dyDescent="0.2">
      <c r="A401" s="8"/>
      <c r="B401" s="8"/>
      <c r="C401" s="8"/>
      <c r="D401" s="8"/>
      <c r="E401" s="8"/>
      <c r="F401" s="8"/>
      <c r="G401" s="8"/>
      <c r="H401" s="8"/>
      <c r="I401" s="8"/>
      <c r="J401" s="8"/>
      <c r="K401" s="8"/>
      <c r="L401" s="528"/>
      <c r="M401" s="528"/>
      <c r="N401" s="448"/>
      <c r="O401" s="448"/>
    </row>
    <row r="402" spans="1:15" x14ac:dyDescent="0.2">
      <c r="A402" s="8"/>
      <c r="B402" s="8"/>
      <c r="C402" s="8"/>
      <c r="D402" s="8"/>
      <c r="E402" s="8"/>
      <c r="F402" s="8"/>
      <c r="G402" s="8"/>
      <c r="H402" s="8"/>
      <c r="I402" s="8"/>
      <c r="J402" s="8"/>
      <c r="K402" s="8"/>
      <c r="L402" s="528"/>
      <c r="M402" s="528"/>
      <c r="N402" s="448"/>
      <c r="O402" s="448"/>
    </row>
    <row r="403" spans="1:15" x14ac:dyDescent="0.2">
      <c r="A403" s="8"/>
      <c r="B403" s="8"/>
      <c r="C403" s="8"/>
      <c r="D403" s="8"/>
      <c r="E403" s="8"/>
      <c r="F403" s="8"/>
      <c r="G403" s="8"/>
      <c r="H403" s="8"/>
      <c r="I403" s="8"/>
      <c r="J403" s="8"/>
      <c r="K403" s="8"/>
      <c r="L403" s="528"/>
      <c r="M403" s="528"/>
      <c r="N403" s="448"/>
      <c r="O403" s="448"/>
    </row>
    <row r="404" spans="1:15" x14ac:dyDescent="0.2">
      <c r="A404" s="8"/>
      <c r="B404" s="8"/>
      <c r="C404" s="8"/>
      <c r="D404" s="8"/>
      <c r="E404" s="8"/>
      <c r="F404" s="8"/>
      <c r="G404" s="8"/>
      <c r="H404" s="8"/>
      <c r="I404" s="8"/>
      <c r="J404" s="8"/>
      <c r="K404" s="8"/>
      <c r="L404" s="528"/>
      <c r="M404" s="528"/>
      <c r="N404" s="448"/>
      <c r="O404" s="448"/>
    </row>
    <row r="405" spans="1:15" x14ac:dyDescent="0.2">
      <c r="A405" s="8"/>
      <c r="B405" s="8"/>
      <c r="C405" s="8"/>
      <c r="D405" s="8"/>
      <c r="E405" s="8"/>
      <c r="F405" s="8"/>
      <c r="G405" s="8"/>
      <c r="H405" s="8"/>
      <c r="I405" s="8"/>
      <c r="J405" s="8"/>
      <c r="K405" s="8"/>
      <c r="L405" s="528"/>
      <c r="M405" s="528"/>
      <c r="N405" s="448"/>
      <c r="O405" s="448"/>
    </row>
    <row r="406" spans="1:15" x14ac:dyDescent="0.2">
      <c r="A406" s="8"/>
      <c r="B406" s="8"/>
      <c r="C406" s="8"/>
      <c r="D406" s="8"/>
      <c r="E406" s="8"/>
      <c r="F406" s="8"/>
      <c r="G406" s="8"/>
      <c r="H406" s="8"/>
      <c r="I406" s="8"/>
      <c r="J406" s="8"/>
      <c r="K406" s="8"/>
      <c r="L406" s="528"/>
      <c r="M406" s="528"/>
      <c r="N406" s="448"/>
      <c r="O406" s="448"/>
    </row>
    <row r="407" spans="1:15" x14ac:dyDescent="0.2">
      <c r="A407" s="8"/>
      <c r="B407" s="8"/>
      <c r="C407" s="8"/>
      <c r="D407" s="8"/>
      <c r="E407" s="8"/>
      <c r="F407" s="8"/>
      <c r="G407" s="8"/>
      <c r="H407" s="8"/>
      <c r="I407" s="8"/>
      <c r="J407" s="8"/>
      <c r="K407" s="8"/>
      <c r="L407" s="528"/>
      <c r="M407" s="528"/>
      <c r="N407" s="448"/>
      <c r="O407" s="448"/>
    </row>
    <row r="408" spans="1:15" x14ac:dyDescent="0.2">
      <c r="A408" s="8"/>
      <c r="B408" s="8"/>
      <c r="C408" s="8"/>
      <c r="D408" s="8"/>
      <c r="E408" s="8"/>
      <c r="F408" s="8"/>
      <c r="G408" s="8"/>
      <c r="H408" s="8"/>
      <c r="I408" s="8"/>
      <c r="J408" s="8"/>
      <c r="K408" s="8"/>
      <c r="L408" s="528"/>
      <c r="M408" s="528"/>
      <c r="N408" s="448"/>
      <c r="O408" s="448"/>
    </row>
    <row r="409" spans="1:15" x14ac:dyDescent="0.2">
      <c r="A409" s="8"/>
      <c r="B409" s="8"/>
      <c r="C409" s="8"/>
      <c r="D409" s="8"/>
      <c r="E409" s="8"/>
      <c r="F409" s="8"/>
      <c r="G409" s="8"/>
      <c r="H409" s="8"/>
      <c r="I409" s="8"/>
      <c r="J409" s="8"/>
      <c r="K409" s="8"/>
      <c r="L409" s="528"/>
      <c r="M409" s="528"/>
      <c r="N409" s="448"/>
      <c r="O409" s="448"/>
    </row>
    <row r="410" spans="1:15" x14ac:dyDescent="0.2">
      <c r="A410" s="8"/>
      <c r="B410" s="8"/>
      <c r="C410" s="8"/>
      <c r="D410" s="8"/>
      <c r="E410" s="8"/>
      <c r="F410" s="8"/>
      <c r="G410" s="8"/>
      <c r="H410" s="8"/>
      <c r="I410" s="8"/>
      <c r="J410" s="8"/>
      <c r="K410" s="8"/>
      <c r="L410" s="528"/>
      <c r="M410" s="528"/>
      <c r="N410" s="448"/>
      <c r="O410" s="448"/>
    </row>
    <row r="411" spans="1:15" x14ac:dyDescent="0.2">
      <c r="A411" s="8"/>
      <c r="B411" s="8"/>
      <c r="C411" s="8"/>
      <c r="D411" s="8"/>
      <c r="E411" s="8"/>
      <c r="F411" s="8"/>
      <c r="G411" s="8"/>
      <c r="H411" s="8"/>
      <c r="I411" s="8"/>
      <c r="J411" s="8"/>
      <c r="K411" s="8"/>
      <c r="L411" s="528"/>
      <c r="M411" s="528"/>
      <c r="N411" s="448"/>
      <c r="O411" s="448"/>
    </row>
    <row r="412" spans="1:15" x14ac:dyDescent="0.2">
      <c r="A412" s="8"/>
      <c r="B412" s="8"/>
      <c r="C412" s="8"/>
      <c r="D412" s="8"/>
      <c r="E412" s="8"/>
      <c r="F412" s="8"/>
      <c r="G412" s="8"/>
      <c r="H412" s="8"/>
      <c r="I412" s="8"/>
      <c r="J412" s="8"/>
      <c r="K412" s="8"/>
      <c r="L412" s="528"/>
      <c r="M412" s="528"/>
      <c r="N412" s="448"/>
      <c r="O412" s="448"/>
    </row>
    <row r="413" spans="1:15" x14ac:dyDescent="0.2">
      <c r="A413" s="8"/>
      <c r="B413" s="8"/>
      <c r="C413" s="8"/>
      <c r="D413" s="8"/>
      <c r="E413" s="8"/>
      <c r="F413" s="8"/>
      <c r="G413" s="8"/>
      <c r="H413" s="8"/>
      <c r="I413" s="8"/>
      <c r="J413" s="8"/>
      <c r="K413" s="8"/>
      <c r="L413" s="528"/>
      <c r="M413" s="528"/>
      <c r="N413" s="448"/>
      <c r="O413" s="448"/>
    </row>
    <row r="414" spans="1:15" x14ac:dyDescent="0.2">
      <c r="A414" s="8"/>
      <c r="B414" s="8"/>
      <c r="C414" s="8"/>
      <c r="D414" s="8"/>
      <c r="E414" s="8"/>
      <c r="F414" s="8"/>
      <c r="G414" s="8"/>
      <c r="H414" s="8"/>
      <c r="I414" s="8"/>
      <c r="J414" s="8"/>
      <c r="K414" s="8"/>
      <c r="L414" s="528"/>
      <c r="M414" s="528"/>
      <c r="N414" s="448"/>
      <c r="O414" s="448"/>
    </row>
    <row r="415" spans="1:15" x14ac:dyDescent="0.2">
      <c r="A415" s="8"/>
      <c r="B415" s="8"/>
      <c r="C415" s="8"/>
      <c r="D415" s="8"/>
      <c r="E415" s="8"/>
      <c r="F415" s="8"/>
      <c r="G415" s="8"/>
      <c r="H415" s="8"/>
      <c r="I415" s="8"/>
      <c r="J415" s="8"/>
      <c r="K415" s="8"/>
      <c r="L415" s="528"/>
      <c r="M415" s="528"/>
      <c r="N415" s="448"/>
      <c r="O415" s="448"/>
    </row>
    <row r="416" spans="1:15" x14ac:dyDescent="0.2">
      <c r="A416" s="8"/>
      <c r="B416" s="8"/>
      <c r="C416" s="8"/>
      <c r="D416" s="8"/>
      <c r="E416" s="8"/>
      <c r="F416" s="8"/>
      <c r="G416" s="8"/>
      <c r="H416" s="8"/>
      <c r="I416" s="8"/>
      <c r="J416" s="8"/>
      <c r="K416" s="8"/>
      <c r="L416" s="528"/>
      <c r="M416" s="528"/>
      <c r="N416" s="448"/>
      <c r="O416" s="448"/>
    </row>
    <row r="417" spans="1:15" x14ac:dyDescent="0.2">
      <c r="A417" s="8"/>
      <c r="B417" s="8"/>
      <c r="C417" s="8"/>
      <c r="D417" s="8"/>
      <c r="E417" s="8"/>
      <c r="F417" s="8"/>
      <c r="G417" s="8"/>
      <c r="H417" s="8"/>
      <c r="I417" s="8"/>
      <c r="J417" s="8"/>
      <c r="K417" s="8"/>
      <c r="L417" s="528"/>
      <c r="M417" s="528"/>
      <c r="N417" s="448"/>
      <c r="O417" s="448"/>
    </row>
    <row r="418" spans="1:15" x14ac:dyDescent="0.2">
      <c r="A418" s="8"/>
      <c r="B418" s="8"/>
      <c r="C418" s="8"/>
      <c r="D418" s="8"/>
      <c r="E418" s="8"/>
      <c r="F418" s="8"/>
      <c r="G418" s="8"/>
      <c r="H418" s="8"/>
      <c r="I418" s="8"/>
      <c r="J418" s="8"/>
      <c r="K418" s="8"/>
      <c r="L418" s="528"/>
      <c r="M418" s="528"/>
      <c r="N418" s="448"/>
      <c r="O418" s="448"/>
    </row>
    <row r="419" spans="1:15" x14ac:dyDescent="0.2">
      <c r="A419" s="8"/>
      <c r="B419" s="8"/>
      <c r="C419" s="8"/>
      <c r="D419" s="8"/>
      <c r="E419" s="8"/>
      <c r="F419" s="8"/>
      <c r="G419" s="8"/>
      <c r="H419" s="8"/>
      <c r="I419" s="8"/>
      <c r="J419" s="8"/>
      <c r="K419" s="8"/>
      <c r="L419" s="528"/>
      <c r="M419" s="528"/>
      <c r="N419" s="448"/>
      <c r="O419" s="448"/>
    </row>
    <row r="420" spans="1:15" x14ac:dyDescent="0.2">
      <c r="A420" s="8"/>
      <c r="B420" s="8"/>
      <c r="C420" s="8"/>
      <c r="D420" s="8"/>
      <c r="E420" s="8"/>
      <c r="F420" s="8"/>
      <c r="G420" s="8"/>
      <c r="H420" s="8"/>
      <c r="I420" s="8"/>
      <c r="J420" s="8"/>
      <c r="K420" s="8"/>
      <c r="L420" s="528"/>
      <c r="M420" s="528"/>
      <c r="N420" s="448"/>
      <c r="O420" s="448"/>
    </row>
    <row r="421" spans="1:15" x14ac:dyDescent="0.2">
      <c r="A421" s="8"/>
      <c r="B421" s="8"/>
      <c r="C421" s="8"/>
      <c r="D421" s="8"/>
      <c r="E421" s="8"/>
      <c r="F421" s="8"/>
      <c r="G421" s="8"/>
      <c r="H421" s="8"/>
      <c r="I421" s="8"/>
      <c r="J421" s="8"/>
      <c r="K421" s="8"/>
      <c r="L421" s="528"/>
      <c r="M421" s="528"/>
      <c r="N421" s="448"/>
      <c r="O421" s="448"/>
    </row>
    <row r="422" spans="1:15" x14ac:dyDescent="0.2">
      <c r="A422" s="8"/>
      <c r="B422" s="8"/>
      <c r="C422" s="8"/>
      <c r="D422" s="8"/>
      <c r="E422" s="8"/>
      <c r="F422" s="8"/>
      <c r="G422" s="8"/>
      <c r="H422" s="8"/>
      <c r="I422" s="8"/>
      <c r="J422" s="8"/>
      <c r="K422" s="8"/>
      <c r="L422" s="528"/>
      <c r="M422" s="528"/>
      <c r="N422" s="448"/>
      <c r="O422" s="448"/>
    </row>
    <row r="423" spans="1:15" x14ac:dyDescent="0.2">
      <c r="A423" s="8"/>
      <c r="B423" s="8"/>
      <c r="C423" s="8"/>
      <c r="D423" s="8"/>
      <c r="E423" s="8"/>
      <c r="F423" s="8"/>
      <c r="G423" s="8"/>
      <c r="H423" s="8"/>
      <c r="I423" s="8"/>
      <c r="J423" s="8"/>
      <c r="K423" s="8"/>
      <c r="L423" s="528"/>
      <c r="M423" s="528"/>
      <c r="N423" s="448"/>
      <c r="O423" s="448"/>
    </row>
    <row r="424" spans="1:15" x14ac:dyDescent="0.2">
      <c r="A424" s="8"/>
      <c r="B424" s="8"/>
      <c r="C424" s="8"/>
      <c r="D424" s="8"/>
      <c r="E424" s="8"/>
      <c r="F424" s="8"/>
      <c r="G424" s="8"/>
      <c r="H424" s="8"/>
      <c r="I424" s="8"/>
      <c r="J424" s="8"/>
      <c r="K424" s="8"/>
      <c r="L424" s="528"/>
      <c r="M424" s="528"/>
      <c r="N424" s="448"/>
      <c r="O424" s="448"/>
    </row>
    <row r="425" spans="1:15" x14ac:dyDescent="0.2">
      <c r="A425" s="8"/>
      <c r="B425" s="8"/>
      <c r="C425" s="8"/>
      <c r="D425" s="8"/>
      <c r="E425" s="8"/>
      <c r="F425" s="8"/>
      <c r="G425" s="8"/>
      <c r="H425" s="8"/>
      <c r="I425" s="8"/>
      <c r="J425" s="8"/>
      <c r="K425" s="8"/>
      <c r="L425" s="528"/>
      <c r="M425" s="528"/>
      <c r="N425" s="448"/>
      <c r="O425" s="448"/>
    </row>
    <row r="426" spans="1:15" x14ac:dyDescent="0.2">
      <c r="A426" s="8"/>
      <c r="B426" s="8"/>
      <c r="C426" s="8"/>
      <c r="D426" s="8"/>
      <c r="E426" s="8"/>
      <c r="F426" s="8"/>
      <c r="G426" s="8"/>
      <c r="H426" s="8"/>
      <c r="I426" s="8"/>
      <c r="J426" s="8"/>
      <c r="K426" s="8"/>
      <c r="L426" s="528"/>
      <c r="M426" s="528"/>
      <c r="N426" s="448"/>
      <c r="O426" s="448"/>
    </row>
    <row r="427" spans="1:15" x14ac:dyDescent="0.2">
      <c r="A427" s="8"/>
      <c r="B427" s="8"/>
      <c r="C427" s="8"/>
      <c r="D427" s="8"/>
      <c r="E427" s="8"/>
      <c r="F427" s="8"/>
      <c r="G427" s="8"/>
      <c r="H427" s="8"/>
      <c r="I427" s="8"/>
      <c r="J427" s="8"/>
      <c r="K427" s="8"/>
      <c r="L427" s="528"/>
      <c r="M427" s="528"/>
      <c r="N427" s="448"/>
      <c r="O427" s="448"/>
    </row>
    <row r="428" spans="1:15" x14ac:dyDescent="0.2">
      <c r="A428" s="8"/>
      <c r="B428" s="8"/>
      <c r="C428" s="8"/>
      <c r="D428" s="8"/>
      <c r="E428" s="8"/>
      <c r="F428" s="8"/>
      <c r="G428" s="8"/>
      <c r="H428" s="8"/>
      <c r="I428" s="8"/>
      <c r="J428" s="8"/>
      <c r="K428" s="8"/>
      <c r="L428" s="528"/>
      <c r="M428" s="528"/>
      <c r="N428" s="448"/>
      <c r="O428" s="448"/>
    </row>
    <row r="429" spans="1:15" x14ac:dyDescent="0.2">
      <c r="A429" s="8"/>
      <c r="B429" s="8"/>
      <c r="C429" s="8"/>
      <c r="D429" s="8"/>
      <c r="E429" s="8"/>
      <c r="F429" s="8"/>
      <c r="G429" s="8"/>
      <c r="H429" s="8"/>
      <c r="I429" s="8"/>
      <c r="J429" s="8"/>
      <c r="K429" s="8"/>
      <c r="L429" s="528"/>
      <c r="M429" s="528"/>
      <c r="N429" s="448"/>
      <c r="O429" s="448"/>
    </row>
    <row r="430" spans="1:15" x14ac:dyDescent="0.2">
      <c r="A430" s="8"/>
      <c r="B430" s="8"/>
      <c r="C430" s="8"/>
      <c r="D430" s="8"/>
      <c r="E430" s="8"/>
      <c r="F430" s="8"/>
      <c r="G430" s="8"/>
      <c r="H430" s="8"/>
      <c r="I430" s="8"/>
      <c r="J430" s="8"/>
      <c r="K430" s="8"/>
      <c r="L430" s="528"/>
      <c r="M430" s="528"/>
      <c r="N430" s="448"/>
      <c r="O430" s="448"/>
    </row>
    <row r="431" spans="1:15" x14ac:dyDescent="0.2">
      <c r="A431" s="8"/>
      <c r="B431" s="8"/>
      <c r="C431" s="8"/>
      <c r="D431" s="8"/>
      <c r="E431" s="8"/>
      <c r="F431" s="8"/>
      <c r="G431" s="8"/>
      <c r="H431" s="8"/>
      <c r="I431" s="8"/>
      <c r="J431" s="8"/>
      <c r="K431" s="8"/>
      <c r="L431" s="528"/>
      <c r="M431" s="528"/>
      <c r="N431" s="448"/>
      <c r="O431" s="448"/>
    </row>
    <row r="432" spans="1:15" x14ac:dyDescent="0.2">
      <c r="A432" s="8"/>
      <c r="B432" s="8"/>
      <c r="C432" s="8"/>
      <c r="D432" s="8"/>
      <c r="E432" s="8"/>
      <c r="F432" s="8"/>
      <c r="G432" s="8"/>
      <c r="H432" s="8"/>
      <c r="I432" s="8"/>
      <c r="J432" s="8"/>
      <c r="K432" s="8"/>
      <c r="L432" s="528"/>
      <c r="M432" s="528"/>
      <c r="N432" s="448"/>
      <c r="O432" s="448"/>
    </row>
    <row r="433" spans="1:15" x14ac:dyDescent="0.2">
      <c r="A433" s="8"/>
      <c r="B433" s="8"/>
      <c r="C433" s="8"/>
      <c r="D433" s="8"/>
      <c r="E433" s="8"/>
      <c r="F433" s="8"/>
      <c r="G433" s="8"/>
      <c r="H433" s="8"/>
      <c r="I433" s="8"/>
      <c r="J433" s="8"/>
      <c r="K433" s="8"/>
      <c r="L433" s="528"/>
      <c r="M433" s="528"/>
      <c r="N433" s="448"/>
      <c r="O433" s="448"/>
    </row>
    <row r="434" spans="1:15" x14ac:dyDescent="0.2">
      <c r="A434" s="8"/>
      <c r="B434" s="8"/>
      <c r="C434" s="8"/>
      <c r="D434" s="8"/>
      <c r="E434" s="8"/>
      <c r="F434" s="8"/>
      <c r="G434" s="8"/>
      <c r="H434" s="8"/>
      <c r="I434" s="8"/>
      <c r="J434" s="8"/>
      <c r="K434" s="8"/>
      <c r="L434" s="528"/>
      <c r="M434" s="528"/>
      <c r="N434" s="448"/>
      <c r="O434" s="448"/>
    </row>
    <row r="435" spans="1:15" x14ac:dyDescent="0.2">
      <c r="A435" s="8"/>
      <c r="B435" s="8"/>
      <c r="C435" s="8"/>
      <c r="D435" s="8"/>
      <c r="E435" s="8"/>
      <c r="F435" s="8"/>
      <c r="G435" s="8"/>
      <c r="H435" s="8"/>
      <c r="I435" s="8"/>
      <c r="J435" s="8"/>
      <c r="K435" s="8"/>
      <c r="L435" s="528"/>
      <c r="M435" s="528"/>
      <c r="N435" s="448"/>
      <c r="O435" s="448"/>
    </row>
    <row r="436" spans="1:15" x14ac:dyDescent="0.2">
      <c r="A436" s="8"/>
      <c r="B436" s="8"/>
      <c r="C436" s="8"/>
      <c r="D436" s="8"/>
      <c r="E436" s="8"/>
      <c r="F436" s="8"/>
      <c r="G436" s="8"/>
      <c r="H436" s="8"/>
      <c r="I436" s="8"/>
      <c r="J436" s="8"/>
      <c r="K436" s="8"/>
      <c r="L436" s="528"/>
      <c r="M436" s="528"/>
      <c r="N436" s="448"/>
      <c r="O436" s="448"/>
    </row>
    <row r="437" spans="1:15" x14ac:dyDescent="0.2">
      <c r="A437" s="8"/>
      <c r="B437" s="8"/>
      <c r="C437" s="8"/>
      <c r="D437" s="8"/>
      <c r="E437" s="8"/>
      <c r="F437" s="8"/>
      <c r="G437" s="8"/>
      <c r="H437" s="8"/>
      <c r="I437" s="8"/>
      <c r="J437" s="8"/>
      <c r="K437" s="8"/>
      <c r="L437" s="528"/>
      <c r="M437" s="528"/>
      <c r="N437" s="448"/>
      <c r="O437" s="448"/>
    </row>
    <row r="438" spans="1:15" x14ac:dyDescent="0.2">
      <c r="A438" s="8"/>
      <c r="B438" s="8"/>
      <c r="C438" s="8"/>
      <c r="D438" s="8"/>
      <c r="E438" s="8"/>
      <c r="F438" s="8"/>
      <c r="G438" s="8"/>
      <c r="H438" s="8"/>
      <c r="I438" s="8"/>
      <c r="J438" s="8"/>
      <c r="K438" s="8"/>
      <c r="L438" s="528"/>
      <c r="M438" s="528"/>
      <c r="N438" s="448"/>
      <c r="O438" s="448"/>
    </row>
    <row r="439" spans="1:15" x14ac:dyDescent="0.2">
      <c r="A439" s="8"/>
      <c r="B439" s="8"/>
      <c r="C439" s="8"/>
      <c r="D439" s="8"/>
      <c r="E439" s="8"/>
      <c r="F439" s="8"/>
      <c r="G439" s="8"/>
      <c r="H439" s="8"/>
      <c r="I439" s="8"/>
      <c r="J439" s="8"/>
      <c r="K439" s="8"/>
      <c r="L439" s="528"/>
      <c r="M439" s="528"/>
      <c r="N439" s="448"/>
      <c r="O439" s="448"/>
    </row>
    <row r="440" spans="1:15" x14ac:dyDescent="0.2">
      <c r="A440" s="8"/>
      <c r="B440" s="8"/>
      <c r="C440" s="8"/>
      <c r="D440" s="8"/>
      <c r="E440" s="8"/>
      <c r="F440" s="8"/>
      <c r="G440" s="8"/>
      <c r="H440" s="8"/>
      <c r="I440" s="8"/>
      <c r="J440" s="8"/>
      <c r="K440" s="8"/>
      <c r="L440" s="528"/>
      <c r="M440" s="528"/>
      <c r="N440" s="448"/>
      <c r="O440" s="448"/>
    </row>
    <row r="441" spans="1:15" x14ac:dyDescent="0.2">
      <c r="A441" s="8"/>
      <c r="B441" s="8"/>
      <c r="C441" s="8"/>
      <c r="D441" s="8"/>
      <c r="E441" s="8"/>
      <c r="F441" s="8"/>
      <c r="G441" s="8"/>
      <c r="H441" s="8"/>
      <c r="I441" s="8"/>
      <c r="J441" s="8"/>
      <c r="K441" s="8"/>
      <c r="L441" s="528"/>
      <c r="M441" s="528"/>
      <c r="N441" s="448"/>
      <c r="O441" s="448"/>
    </row>
    <row r="442" spans="1:15" x14ac:dyDescent="0.2">
      <c r="A442" s="8"/>
      <c r="B442" s="8"/>
      <c r="C442" s="8"/>
      <c r="D442" s="8"/>
      <c r="E442" s="8"/>
      <c r="F442" s="8"/>
      <c r="G442" s="8"/>
      <c r="H442" s="8"/>
      <c r="I442" s="8"/>
      <c r="J442" s="8"/>
      <c r="K442" s="8"/>
      <c r="L442" s="528"/>
      <c r="M442" s="528"/>
      <c r="N442" s="448"/>
      <c r="O442" s="448"/>
    </row>
    <row r="443" spans="1:15" x14ac:dyDescent="0.2">
      <c r="A443" s="8"/>
      <c r="B443" s="8"/>
      <c r="C443" s="8"/>
      <c r="D443" s="8"/>
      <c r="E443" s="8"/>
      <c r="F443" s="8"/>
      <c r="G443" s="8"/>
      <c r="H443" s="8"/>
      <c r="I443" s="8"/>
      <c r="J443" s="8"/>
      <c r="K443" s="8"/>
      <c r="L443" s="528"/>
      <c r="M443" s="528"/>
      <c r="N443" s="448"/>
      <c r="O443" s="448"/>
    </row>
    <row r="444" spans="1:15" x14ac:dyDescent="0.2">
      <c r="A444" s="8"/>
      <c r="B444" s="8"/>
      <c r="C444" s="8"/>
      <c r="D444" s="8"/>
      <c r="E444" s="8"/>
      <c r="F444" s="8"/>
      <c r="G444" s="8"/>
      <c r="H444" s="8"/>
      <c r="I444" s="8"/>
      <c r="J444" s="8"/>
      <c r="K444" s="8"/>
      <c r="L444" s="528"/>
      <c r="M444" s="528"/>
      <c r="N444" s="448"/>
      <c r="O444" s="448"/>
    </row>
    <row r="445" spans="1:15" x14ac:dyDescent="0.2">
      <c r="A445" s="8"/>
      <c r="B445" s="8"/>
      <c r="C445" s="8"/>
      <c r="D445" s="8"/>
      <c r="E445" s="8"/>
      <c r="F445" s="8"/>
      <c r="G445" s="8"/>
      <c r="H445" s="8"/>
      <c r="I445" s="8"/>
      <c r="J445" s="8"/>
      <c r="K445" s="8"/>
      <c r="L445" s="528"/>
      <c r="M445" s="528"/>
      <c r="N445" s="448"/>
      <c r="O445" s="448"/>
    </row>
    <row r="446" spans="1:15" x14ac:dyDescent="0.2">
      <c r="A446" s="8"/>
      <c r="B446" s="8"/>
      <c r="C446" s="8"/>
      <c r="D446" s="8"/>
      <c r="E446" s="8"/>
      <c r="F446" s="8"/>
      <c r="G446" s="8"/>
      <c r="H446" s="8"/>
      <c r="I446" s="8"/>
      <c r="J446" s="8"/>
      <c r="K446" s="8"/>
      <c r="L446" s="528"/>
      <c r="M446" s="528"/>
      <c r="N446" s="448"/>
      <c r="O446" s="448"/>
    </row>
    <row r="447" spans="1:15" x14ac:dyDescent="0.2">
      <c r="A447" s="8"/>
      <c r="B447" s="8"/>
      <c r="C447" s="8"/>
      <c r="D447" s="8"/>
      <c r="E447" s="8"/>
      <c r="F447" s="8"/>
      <c r="G447" s="8"/>
      <c r="H447" s="8"/>
      <c r="I447" s="8"/>
      <c r="J447" s="8"/>
      <c r="K447" s="8"/>
      <c r="L447" s="528"/>
      <c r="M447" s="528"/>
      <c r="N447" s="448"/>
      <c r="O447" s="448"/>
    </row>
    <row r="448" spans="1:15" x14ac:dyDescent="0.2">
      <c r="A448" s="8"/>
      <c r="B448" s="8"/>
      <c r="C448" s="8"/>
      <c r="D448" s="8"/>
      <c r="E448" s="8"/>
      <c r="F448" s="8"/>
      <c r="G448" s="8"/>
      <c r="H448" s="8"/>
      <c r="I448" s="8"/>
      <c r="J448" s="8"/>
      <c r="K448" s="8"/>
      <c r="L448" s="528"/>
      <c r="M448" s="528"/>
      <c r="N448" s="448"/>
      <c r="O448" s="448"/>
    </row>
    <row r="449" spans="1:15" x14ac:dyDescent="0.2">
      <c r="A449" s="8"/>
      <c r="B449" s="8"/>
      <c r="C449" s="8"/>
      <c r="D449" s="8"/>
      <c r="E449" s="8"/>
      <c r="F449" s="8"/>
      <c r="G449" s="8"/>
      <c r="H449" s="8"/>
      <c r="I449" s="8"/>
      <c r="J449" s="8"/>
      <c r="K449" s="8"/>
      <c r="L449" s="528"/>
      <c r="M449" s="528"/>
      <c r="N449" s="448"/>
      <c r="O449" s="448"/>
    </row>
    <row r="450" spans="1:15" x14ac:dyDescent="0.2">
      <c r="A450" s="8"/>
      <c r="B450" s="8"/>
      <c r="C450" s="8"/>
      <c r="D450" s="8"/>
      <c r="E450" s="8"/>
      <c r="F450" s="8"/>
      <c r="G450" s="8"/>
      <c r="H450" s="8"/>
      <c r="I450" s="8"/>
      <c r="J450" s="8"/>
      <c r="K450" s="8"/>
      <c r="L450" s="528"/>
      <c r="M450" s="528"/>
      <c r="N450" s="448"/>
      <c r="O450" s="448"/>
    </row>
    <row r="451" spans="1:15" x14ac:dyDescent="0.2">
      <c r="A451" s="8"/>
      <c r="B451" s="8"/>
      <c r="C451" s="8"/>
      <c r="D451" s="8"/>
      <c r="E451" s="8"/>
      <c r="F451" s="8"/>
      <c r="G451" s="8"/>
      <c r="H451" s="8"/>
      <c r="I451" s="8"/>
      <c r="J451" s="8"/>
      <c r="K451" s="8"/>
      <c r="L451" s="528"/>
      <c r="M451" s="528"/>
      <c r="N451" s="448"/>
      <c r="O451" s="448"/>
    </row>
    <row r="452" spans="1:15" x14ac:dyDescent="0.2">
      <c r="A452" s="8"/>
      <c r="B452" s="8"/>
      <c r="C452" s="8"/>
      <c r="D452" s="8"/>
      <c r="E452" s="8"/>
      <c r="F452" s="8"/>
      <c r="G452" s="8"/>
      <c r="H452" s="8"/>
      <c r="I452" s="8"/>
      <c r="J452" s="8"/>
      <c r="K452" s="8"/>
      <c r="L452" s="528"/>
      <c r="M452" s="528"/>
      <c r="N452" s="448"/>
      <c r="O452" s="448"/>
    </row>
    <row r="453" spans="1:15" x14ac:dyDescent="0.2">
      <c r="A453" s="8"/>
      <c r="B453" s="8"/>
      <c r="C453" s="8"/>
      <c r="D453" s="8"/>
      <c r="E453" s="8"/>
      <c r="F453" s="8"/>
      <c r="G453" s="8"/>
      <c r="H453" s="8"/>
      <c r="I453" s="8"/>
      <c r="J453" s="8"/>
      <c r="K453" s="8"/>
      <c r="L453" s="528"/>
      <c r="M453" s="528"/>
      <c r="N453" s="448"/>
      <c r="O453" s="448"/>
    </row>
    <row r="454" spans="1:15" x14ac:dyDescent="0.2">
      <c r="A454" s="8"/>
      <c r="B454" s="8"/>
      <c r="C454" s="8"/>
      <c r="D454" s="8"/>
      <c r="E454" s="8"/>
      <c r="F454" s="8"/>
      <c r="G454" s="8"/>
      <c r="H454" s="8"/>
      <c r="I454" s="8"/>
      <c r="J454" s="8"/>
      <c r="K454" s="8"/>
      <c r="L454" s="528"/>
      <c r="M454" s="528"/>
      <c r="N454" s="448"/>
      <c r="O454" s="448"/>
    </row>
    <row r="455" spans="1:15" x14ac:dyDescent="0.2">
      <c r="A455" s="8"/>
      <c r="B455" s="8"/>
      <c r="C455" s="8"/>
      <c r="D455" s="8"/>
      <c r="E455" s="8"/>
      <c r="F455" s="8"/>
      <c r="G455" s="8"/>
      <c r="H455" s="8"/>
      <c r="I455" s="8"/>
      <c r="J455" s="8"/>
      <c r="K455" s="8"/>
      <c r="L455" s="528"/>
      <c r="M455" s="528"/>
      <c r="N455" s="448"/>
      <c r="O455" s="448"/>
    </row>
    <row r="456" spans="1:15" x14ac:dyDescent="0.2">
      <c r="A456" s="8"/>
      <c r="B456" s="8"/>
      <c r="C456" s="8"/>
      <c r="D456" s="8"/>
      <c r="E456" s="8"/>
      <c r="F456" s="8"/>
      <c r="G456" s="8"/>
      <c r="H456" s="8"/>
      <c r="I456" s="8"/>
      <c r="J456" s="8"/>
      <c r="K456" s="8"/>
      <c r="L456" s="528"/>
      <c r="M456" s="528"/>
      <c r="N456" s="448"/>
      <c r="O456" s="448"/>
    </row>
    <row r="457" spans="1:15" x14ac:dyDescent="0.2">
      <c r="A457" s="8"/>
      <c r="B457" s="8"/>
      <c r="C457" s="8"/>
      <c r="D457" s="8"/>
      <c r="E457" s="8"/>
      <c r="F457" s="8"/>
      <c r="G457" s="8"/>
      <c r="H457" s="8"/>
      <c r="I457" s="8"/>
      <c r="J457" s="8"/>
      <c r="K457" s="8"/>
      <c r="L457" s="528"/>
      <c r="M457" s="528"/>
      <c r="N457" s="448"/>
      <c r="O457" s="448"/>
    </row>
    <row r="458" spans="1:15" x14ac:dyDescent="0.2">
      <c r="A458" s="8"/>
      <c r="B458" s="8"/>
      <c r="C458" s="8"/>
      <c r="D458" s="8"/>
      <c r="E458" s="8"/>
      <c r="F458" s="8"/>
      <c r="G458" s="8"/>
      <c r="H458" s="8"/>
      <c r="I458" s="8"/>
      <c r="J458" s="8"/>
      <c r="K458" s="8"/>
      <c r="L458" s="528"/>
      <c r="M458" s="528"/>
      <c r="N458" s="448"/>
      <c r="O458" s="448"/>
    </row>
    <row r="459" spans="1:15" x14ac:dyDescent="0.2">
      <c r="A459" s="8"/>
      <c r="B459" s="8"/>
      <c r="C459" s="8"/>
      <c r="D459" s="8"/>
      <c r="E459" s="8"/>
      <c r="F459" s="8"/>
      <c r="G459" s="8"/>
      <c r="H459" s="8"/>
      <c r="I459" s="8"/>
      <c r="J459" s="8"/>
      <c r="K459" s="8"/>
      <c r="L459" s="528"/>
      <c r="M459" s="528"/>
      <c r="N459" s="448"/>
      <c r="O459" s="448"/>
    </row>
    <row r="460" spans="1:15" x14ac:dyDescent="0.2">
      <c r="A460" s="8"/>
      <c r="B460" s="8"/>
      <c r="C460" s="8"/>
      <c r="D460" s="8"/>
      <c r="E460" s="8"/>
      <c r="F460" s="8"/>
      <c r="G460" s="8"/>
      <c r="H460" s="8"/>
      <c r="I460" s="8"/>
      <c r="J460" s="8"/>
      <c r="K460" s="8"/>
      <c r="L460" s="528"/>
      <c r="M460" s="528"/>
      <c r="N460" s="448"/>
      <c r="O460" s="448"/>
    </row>
    <row r="461" spans="1:15" x14ac:dyDescent="0.2">
      <c r="A461" s="8"/>
      <c r="B461" s="8"/>
      <c r="C461" s="8"/>
      <c r="D461" s="8"/>
      <c r="E461" s="8"/>
      <c r="F461" s="8"/>
      <c r="G461" s="8"/>
      <c r="H461" s="8"/>
      <c r="I461" s="8"/>
      <c r="J461" s="8"/>
      <c r="K461" s="8"/>
      <c r="L461" s="528"/>
      <c r="M461" s="528"/>
      <c r="N461" s="448"/>
      <c r="O461" s="448"/>
    </row>
    <row r="462" spans="1:15" x14ac:dyDescent="0.2">
      <c r="A462" s="8"/>
      <c r="B462" s="8"/>
      <c r="C462" s="8"/>
      <c r="D462" s="8"/>
      <c r="E462" s="8"/>
      <c r="F462" s="8"/>
      <c r="G462" s="8"/>
      <c r="H462" s="8"/>
      <c r="I462" s="8"/>
      <c r="J462" s="8"/>
      <c r="K462" s="8"/>
      <c r="L462" s="528"/>
      <c r="M462" s="528"/>
      <c r="N462" s="448"/>
      <c r="O462" s="448"/>
    </row>
    <row r="463" spans="1:15" x14ac:dyDescent="0.2">
      <c r="A463" s="8"/>
      <c r="B463" s="8"/>
      <c r="C463" s="8"/>
      <c r="D463" s="8"/>
      <c r="E463" s="8"/>
      <c r="F463" s="8"/>
      <c r="G463" s="8"/>
      <c r="H463" s="8"/>
      <c r="I463" s="8"/>
      <c r="J463" s="8"/>
      <c r="K463" s="8"/>
      <c r="L463" s="528"/>
      <c r="M463" s="528"/>
      <c r="N463" s="448"/>
      <c r="O463" s="448"/>
    </row>
    <row r="464" spans="1:15" x14ac:dyDescent="0.2">
      <c r="A464" s="8"/>
      <c r="B464" s="8"/>
      <c r="C464" s="8"/>
      <c r="D464" s="8"/>
      <c r="E464" s="8"/>
      <c r="F464" s="8"/>
      <c r="G464" s="8"/>
      <c r="H464" s="8"/>
      <c r="I464" s="8"/>
      <c r="J464" s="8"/>
      <c r="K464" s="8"/>
      <c r="L464" s="528"/>
      <c r="M464" s="528"/>
      <c r="N464" s="448"/>
      <c r="O464" s="448"/>
    </row>
    <row r="465" spans="1:15" x14ac:dyDescent="0.2">
      <c r="A465" s="8"/>
      <c r="B465" s="8"/>
      <c r="C465" s="8"/>
      <c r="D465" s="8"/>
      <c r="E465" s="8"/>
      <c r="F465" s="8"/>
      <c r="G465" s="8"/>
      <c r="H465" s="8"/>
      <c r="I465" s="8"/>
      <c r="J465" s="8"/>
      <c r="K465" s="8"/>
      <c r="L465" s="528"/>
      <c r="M465" s="528"/>
      <c r="N465" s="448"/>
      <c r="O465" s="448"/>
    </row>
    <row r="466" spans="1:15" x14ac:dyDescent="0.2">
      <c r="A466" s="8"/>
      <c r="B466" s="8"/>
      <c r="C466" s="8"/>
      <c r="D466" s="8"/>
      <c r="E466" s="8"/>
      <c r="F466" s="8"/>
      <c r="G466" s="8"/>
      <c r="H466" s="8"/>
      <c r="I466" s="8"/>
      <c r="J466" s="8"/>
      <c r="K466" s="8"/>
      <c r="L466" s="528"/>
      <c r="M466" s="528"/>
      <c r="N466" s="448"/>
      <c r="O466" s="448"/>
    </row>
    <row r="467" spans="1:15" x14ac:dyDescent="0.2">
      <c r="A467" s="8"/>
      <c r="B467" s="8"/>
      <c r="C467" s="8"/>
      <c r="D467" s="8"/>
      <c r="E467" s="8"/>
      <c r="F467" s="8"/>
      <c r="G467" s="8"/>
      <c r="H467" s="8"/>
      <c r="I467" s="8"/>
      <c r="J467" s="8"/>
      <c r="K467" s="8"/>
      <c r="L467" s="528"/>
      <c r="M467" s="528"/>
      <c r="N467" s="448"/>
      <c r="O467" s="448"/>
    </row>
    <row r="468" spans="1:15" x14ac:dyDescent="0.2">
      <c r="A468" s="8"/>
      <c r="B468" s="8"/>
      <c r="C468" s="8"/>
      <c r="D468" s="8"/>
      <c r="E468" s="8"/>
      <c r="F468" s="8"/>
      <c r="G468" s="8"/>
      <c r="H468" s="8"/>
      <c r="I468" s="8"/>
      <c r="J468" s="8"/>
      <c r="K468" s="8"/>
      <c r="L468" s="528"/>
      <c r="M468" s="528"/>
      <c r="N468" s="448"/>
      <c r="O468" s="448"/>
    </row>
    <row r="469" spans="1:15" x14ac:dyDescent="0.2">
      <c r="A469" s="8"/>
      <c r="B469" s="8"/>
      <c r="C469" s="8"/>
      <c r="D469" s="8"/>
      <c r="E469" s="8"/>
      <c r="F469" s="8"/>
      <c r="G469" s="8"/>
      <c r="H469" s="8"/>
      <c r="I469" s="8"/>
      <c r="J469" s="8"/>
      <c r="K469" s="8"/>
      <c r="L469" s="528"/>
      <c r="M469" s="528"/>
      <c r="N469" s="448"/>
      <c r="O469" s="448"/>
    </row>
    <row r="470" spans="1:15" x14ac:dyDescent="0.2">
      <c r="A470" s="8"/>
      <c r="B470" s="8"/>
      <c r="C470" s="8"/>
      <c r="D470" s="8"/>
      <c r="E470" s="8"/>
      <c r="F470" s="8"/>
      <c r="G470" s="8"/>
      <c r="H470" s="8"/>
      <c r="I470" s="8"/>
      <c r="J470" s="8"/>
      <c r="K470" s="8"/>
      <c r="L470" s="528"/>
      <c r="M470" s="528"/>
      <c r="N470" s="448"/>
      <c r="O470" s="448"/>
    </row>
    <row r="471" spans="1:15" x14ac:dyDescent="0.2">
      <c r="A471" s="8"/>
      <c r="B471" s="8"/>
      <c r="C471" s="8"/>
      <c r="D471" s="8"/>
      <c r="E471" s="8"/>
      <c r="F471" s="8"/>
      <c r="G471" s="8"/>
      <c r="H471" s="8"/>
      <c r="I471" s="8"/>
      <c r="J471" s="8"/>
      <c r="K471" s="8"/>
      <c r="L471" s="528"/>
      <c r="M471" s="528"/>
      <c r="N471" s="448"/>
      <c r="O471" s="448"/>
    </row>
    <row r="472" spans="1:15" x14ac:dyDescent="0.2">
      <c r="A472" s="8"/>
      <c r="B472" s="8"/>
      <c r="C472" s="8"/>
      <c r="D472" s="8"/>
      <c r="E472" s="8"/>
      <c r="F472" s="8"/>
      <c r="G472" s="8"/>
      <c r="H472" s="8"/>
      <c r="I472" s="8"/>
      <c r="J472" s="8"/>
      <c r="K472" s="8"/>
      <c r="L472" s="528"/>
      <c r="M472" s="528"/>
      <c r="N472" s="448"/>
      <c r="O472" s="448"/>
    </row>
    <row r="473" spans="1:15" x14ac:dyDescent="0.2">
      <c r="A473" s="8"/>
      <c r="B473" s="8"/>
      <c r="C473" s="8"/>
      <c r="D473" s="8"/>
      <c r="E473" s="8"/>
      <c r="F473" s="8"/>
      <c r="G473" s="8"/>
      <c r="H473" s="8"/>
      <c r="I473" s="8"/>
      <c r="J473" s="8"/>
      <c r="K473" s="8"/>
      <c r="L473" s="528"/>
      <c r="M473" s="528"/>
      <c r="N473" s="448"/>
      <c r="O473" s="448"/>
    </row>
    <row r="474" spans="1:15" x14ac:dyDescent="0.2">
      <c r="A474" s="8"/>
      <c r="B474" s="8"/>
      <c r="C474" s="8"/>
      <c r="D474" s="8"/>
      <c r="E474" s="8"/>
      <c r="F474" s="8"/>
      <c r="G474" s="8"/>
      <c r="H474" s="8"/>
      <c r="I474" s="8"/>
      <c r="J474" s="8"/>
      <c r="K474" s="8"/>
      <c r="L474" s="528"/>
      <c r="M474" s="528"/>
      <c r="N474" s="448"/>
      <c r="O474" s="448"/>
    </row>
    <row r="475" spans="1:15" x14ac:dyDescent="0.2">
      <c r="A475" s="8"/>
      <c r="B475" s="8"/>
      <c r="C475" s="8"/>
      <c r="D475" s="8"/>
      <c r="E475" s="8"/>
      <c r="F475" s="8"/>
      <c r="G475" s="8"/>
      <c r="H475" s="8"/>
      <c r="I475" s="8"/>
      <c r="J475" s="8"/>
      <c r="K475" s="8"/>
      <c r="L475" s="528"/>
      <c r="M475" s="528"/>
      <c r="N475" s="448"/>
      <c r="O475" s="448"/>
    </row>
    <row r="476" spans="1:15" x14ac:dyDescent="0.2">
      <c r="A476" s="8"/>
      <c r="B476" s="8"/>
      <c r="C476" s="8"/>
      <c r="D476" s="8"/>
      <c r="E476" s="8"/>
      <c r="F476" s="8"/>
      <c r="G476" s="8"/>
      <c r="H476" s="8"/>
      <c r="I476" s="8"/>
      <c r="J476" s="8"/>
      <c r="K476" s="8"/>
      <c r="L476" s="528"/>
      <c r="M476" s="528"/>
      <c r="N476" s="448"/>
      <c r="O476" s="448"/>
    </row>
    <row r="477" spans="1:15" x14ac:dyDescent="0.2">
      <c r="A477" s="8"/>
      <c r="B477" s="8"/>
      <c r="C477" s="8"/>
      <c r="D477" s="8"/>
      <c r="E477" s="8"/>
      <c r="F477" s="8"/>
      <c r="G477" s="8"/>
      <c r="H477" s="8"/>
      <c r="I477" s="8"/>
      <c r="J477" s="8"/>
      <c r="K477" s="8"/>
      <c r="L477" s="528"/>
      <c r="M477" s="528"/>
      <c r="N477" s="448"/>
      <c r="O477" s="448"/>
    </row>
    <row r="478" spans="1:15" x14ac:dyDescent="0.2">
      <c r="A478" s="8"/>
      <c r="B478" s="8"/>
      <c r="C478" s="8"/>
      <c r="D478" s="8"/>
      <c r="E478" s="8"/>
      <c r="F478" s="8"/>
      <c r="G478" s="8"/>
      <c r="H478" s="8"/>
      <c r="I478" s="8"/>
      <c r="J478" s="8"/>
      <c r="K478" s="8"/>
      <c r="L478" s="528"/>
      <c r="M478" s="528"/>
      <c r="N478" s="448"/>
      <c r="O478" s="448"/>
    </row>
    <row r="479" spans="1:15" x14ac:dyDescent="0.2">
      <c r="A479" s="8"/>
      <c r="B479" s="8"/>
      <c r="C479" s="8"/>
      <c r="D479" s="8"/>
      <c r="E479" s="8"/>
      <c r="F479" s="8"/>
      <c r="G479" s="8"/>
      <c r="H479" s="8"/>
      <c r="I479" s="8"/>
      <c r="J479" s="8"/>
      <c r="K479" s="8"/>
      <c r="L479" s="528"/>
      <c r="M479" s="528"/>
      <c r="N479" s="448"/>
      <c r="O479" s="448"/>
    </row>
    <row r="480" spans="1:15" x14ac:dyDescent="0.2">
      <c r="A480" s="8"/>
      <c r="B480" s="8"/>
      <c r="C480" s="8"/>
      <c r="D480" s="8"/>
      <c r="E480" s="8"/>
      <c r="F480" s="8"/>
      <c r="G480" s="8"/>
      <c r="H480" s="8"/>
      <c r="I480" s="8"/>
      <c r="J480" s="8"/>
      <c r="K480" s="8"/>
      <c r="L480" s="528"/>
      <c r="M480" s="528"/>
      <c r="N480" s="448"/>
      <c r="O480" s="448"/>
    </row>
    <row r="481" spans="1:15" x14ac:dyDescent="0.2">
      <c r="A481" s="8"/>
      <c r="B481" s="8"/>
      <c r="C481" s="8"/>
      <c r="D481" s="8"/>
      <c r="E481" s="8"/>
      <c r="F481" s="8"/>
      <c r="G481" s="8"/>
      <c r="H481" s="8"/>
      <c r="I481" s="8"/>
      <c r="J481" s="8"/>
      <c r="K481" s="8"/>
      <c r="L481" s="528"/>
      <c r="M481" s="528"/>
      <c r="N481" s="448"/>
      <c r="O481" s="448"/>
    </row>
    <row r="482" spans="1:15" x14ac:dyDescent="0.2">
      <c r="A482" s="8"/>
      <c r="B482" s="8"/>
      <c r="C482" s="8"/>
      <c r="D482" s="8"/>
      <c r="E482" s="8"/>
      <c r="F482" s="8"/>
      <c r="G482" s="8"/>
      <c r="H482" s="8"/>
      <c r="I482" s="8"/>
      <c r="J482" s="8"/>
      <c r="K482" s="8"/>
      <c r="L482" s="528"/>
      <c r="M482" s="528"/>
      <c r="N482" s="448"/>
      <c r="O482" s="448"/>
    </row>
    <row r="483" spans="1:15" x14ac:dyDescent="0.2">
      <c r="A483" s="8"/>
      <c r="B483" s="8"/>
      <c r="C483" s="8"/>
      <c r="D483" s="8"/>
      <c r="E483" s="8"/>
      <c r="F483" s="8"/>
      <c r="G483" s="8"/>
      <c r="H483" s="8"/>
      <c r="I483" s="8"/>
      <c r="J483" s="8"/>
      <c r="K483" s="8"/>
      <c r="L483" s="528"/>
      <c r="M483" s="528"/>
      <c r="N483" s="448"/>
      <c r="O483" s="448"/>
    </row>
    <row r="484" spans="1:15" x14ac:dyDescent="0.2">
      <c r="A484" s="8"/>
      <c r="B484" s="8"/>
      <c r="C484" s="8"/>
      <c r="D484" s="8"/>
      <c r="E484" s="8"/>
      <c r="F484" s="8"/>
      <c r="G484" s="8"/>
      <c r="H484" s="8"/>
      <c r="I484" s="8"/>
      <c r="J484" s="8"/>
      <c r="K484" s="8"/>
      <c r="L484" s="528"/>
      <c r="M484" s="528"/>
      <c r="N484" s="448"/>
      <c r="O484" s="448"/>
    </row>
    <row r="485" spans="1:15" x14ac:dyDescent="0.2">
      <c r="A485" s="8"/>
      <c r="B485" s="8"/>
      <c r="C485" s="8"/>
      <c r="D485" s="8"/>
      <c r="E485" s="8"/>
      <c r="F485" s="8"/>
      <c r="G485" s="8"/>
      <c r="H485" s="8"/>
      <c r="I485" s="8"/>
      <c r="J485" s="8"/>
      <c r="K485" s="8"/>
      <c r="L485" s="528"/>
      <c r="M485" s="528"/>
      <c r="N485" s="448"/>
      <c r="O485" s="448"/>
    </row>
    <row r="486" spans="1:15" x14ac:dyDescent="0.2">
      <c r="A486" s="8"/>
      <c r="B486" s="8"/>
      <c r="C486" s="8"/>
      <c r="D486" s="8"/>
      <c r="E486" s="8"/>
      <c r="F486" s="8"/>
      <c r="G486" s="8"/>
      <c r="H486" s="8"/>
      <c r="I486" s="8"/>
      <c r="J486" s="8"/>
      <c r="K486" s="8"/>
      <c r="L486" s="528"/>
      <c r="M486" s="528"/>
      <c r="N486" s="448"/>
      <c r="O486" s="448"/>
    </row>
    <row r="487" spans="1:15" x14ac:dyDescent="0.2">
      <c r="A487" s="8"/>
      <c r="B487" s="8"/>
      <c r="C487" s="8"/>
      <c r="D487" s="8"/>
      <c r="E487" s="8"/>
      <c r="F487" s="8"/>
      <c r="G487" s="8"/>
      <c r="H487" s="8"/>
      <c r="I487" s="8"/>
      <c r="J487" s="8"/>
      <c r="K487" s="8"/>
      <c r="L487" s="528"/>
      <c r="M487" s="528"/>
      <c r="N487" s="448"/>
      <c r="O487" s="448"/>
    </row>
    <row r="488" spans="1:15" x14ac:dyDescent="0.2">
      <c r="A488" s="8"/>
      <c r="B488" s="8"/>
      <c r="C488" s="8"/>
      <c r="D488" s="8"/>
      <c r="E488" s="8"/>
      <c r="F488" s="8"/>
      <c r="G488" s="8"/>
      <c r="H488" s="8"/>
      <c r="I488" s="8"/>
      <c r="J488" s="8"/>
      <c r="K488" s="8"/>
      <c r="L488" s="528"/>
      <c r="M488" s="528"/>
      <c r="N488" s="448"/>
      <c r="O488" s="448"/>
    </row>
    <row r="489" spans="1:15" x14ac:dyDescent="0.2">
      <c r="A489" s="8"/>
      <c r="B489" s="8"/>
      <c r="C489" s="8"/>
      <c r="D489" s="8"/>
      <c r="E489" s="8"/>
      <c r="F489" s="8"/>
      <c r="G489" s="8"/>
      <c r="H489" s="8"/>
      <c r="I489" s="8"/>
      <c r="J489" s="8"/>
      <c r="K489" s="8"/>
      <c r="L489" s="528"/>
      <c r="M489" s="528"/>
      <c r="N489" s="448"/>
      <c r="O489" s="448"/>
    </row>
    <row r="490" spans="1:15" x14ac:dyDescent="0.2">
      <c r="A490" s="8"/>
      <c r="B490" s="8"/>
      <c r="C490" s="8"/>
      <c r="D490" s="8"/>
      <c r="E490" s="8"/>
      <c r="F490" s="8"/>
      <c r="G490" s="8"/>
      <c r="H490" s="8"/>
      <c r="I490" s="8"/>
      <c r="J490" s="8"/>
      <c r="K490" s="8"/>
      <c r="L490" s="528"/>
      <c r="M490" s="528"/>
      <c r="N490" s="448"/>
      <c r="O490" s="448"/>
    </row>
    <row r="491" spans="1:15" x14ac:dyDescent="0.2">
      <c r="A491" s="8"/>
      <c r="B491" s="8"/>
      <c r="C491" s="8"/>
      <c r="D491" s="8"/>
      <c r="E491" s="8"/>
      <c r="F491" s="8"/>
      <c r="G491" s="8"/>
      <c r="H491" s="8"/>
      <c r="I491" s="8"/>
      <c r="J491" s="8"/>
      <c r="K491" s="8"/>
      <c r="L491" s="528"/>
      <c r="M491" s="528"/>
      <c r="N491" s="448"/>
      <c r="O491" s="448"/>
    </row>
    <row r="492" spans="1:15" x14ac:dyDescent="0.2">
      <c r="A492" s="8"/>
      <c r="B492" s="8"/>
      <c r="C492" s="8"/>
      <c r="D492" s="8"/>
      <c r="E492" s="8"/>
      <c r="F492" s="8"/>
      <c r="G492" s="8"/>
      <c r="H492" s="8"/>
      <c r="I492" s="8"/>
      <c r="J492" s="8"/>
      <c r="K492" s="8"/>
      <c r="L492" s="528"/>
      <c r="M492" s="528"/>
      <c r="N492" s="448"/>
      <c r="O492" s="448"/>
    </row>
    <row r="493" spans="1:15" x14ac:dyDescent="0.2">
      <c r="A493" s="8"/>
      <c r="B493" s="8"/>
      <c r="C493" s="8"/>
      <c r="D493" s="8"/>
      <c r="E493" s="8"/>
      <c r="F493" s="8"/>
      <c r="G493" s="8"/>
      <c r="H493" s="8"/>
      <c r="I493" s="8"/>
      <c r="J493" s="8"/>
      <c r="K493" s="8"/>
      <c r="L493" s="528"/>
      <c r="M493" s="528"/>
      <c r="N493" s="448"/>
      <c r="O493" s="448"/>
    </row>
    <row r="494" spans="1:15" x14ac:dyDescent="0.2">
      <c r="A494" s="8"/>
      <c r="B494" s="8"/>
      <c r="C494" s="8"/>
      <c r="D494" s="8"/>
      <c r="E494" s="8"/>
      <c r="F494" s="8"/>
      <c r="G494" s="8"/>
      <c r="H494" s="8"/>
      <c r="I494" s="8"/>
      <c r="J494" s="8"/>
      <c r="K494" s="8"/>
      <c r="L494" s="528"/>
      <c r="M494" s="528"/>
      <c r="N494" s="448"/>
      <c r="O494" s="448"/>
    </row>
    <row r="495" spans="1:15" x14ac:dyDescent="0.2">
      <c r="A495" s="8"/>
      <c r="B495" s="8"/>
      <c r="C495" s="8"/>
      <c r="D495" s="8"/>
      <c r="E495" s="8"/>
      <c r="F495" s="8"/>
      <c r="G495" s="8"/>
      <c r="H495" s="8"/>
      <c r="I495" s="8"/>
      <c r="J495" s="8"/>
      <c r="K495" s="8"/>
      <c r="L495" s="528"/>
      <c r="M495" s="528"/>
      <c r="N495" s="448"/>
      <c r="O495" s="448"/>
    </row>
    <row r="496" spans="1:15" x14ac:dyDescent="0.2">
      <c r="A496" s="8"/>
      <c r="B496" s="8"/>
      <c r="C496" s="8"/>
      <c r="D496" s="8"/>
      <c r="E496" s="8"/>
      <c r="F496" s="8"/>
      <c r="G496" s="8"/>
      <c r="H496" s="8"/>
      <c r="I496" s="8"/>
      <c r="J496" s="8"/>
      <c r="K496" s="8"/>
      <c r="L496" s="528"/>
      <c r="M496" s="528"/>
      <c r="N496" s="448"/>
      <c r="O496" s="448"/>
    </row>
    <row r="497" spans="1:15" x14ac:dyDescent="0.2">
      <c r="A497" s="8"/>
      <c r="B497" s="8"/>
      <c r="C497" s="8"/>
      <c r="D497" s="8"/>
      <c r="E497" s="8"/>
      <c r="F497" s="8"/>
      <c r="G497" s="8"/>
      <c r="H497" s="8"/>
      <c r="I497" s="8"/>
      <c r="J497" s="8"/>
      <c r="K497" s="8"/>
      <c r="L497" s="528"/>
      <c r="M497" s="528"/>
      <c r="N497" s="448"/>
      <c r="O497" s="448"/>
    </row>
    <row r="498" spans="1:15" x14ac:dyDescent="0.2">
      <c r="A498" s="8"/>
      <c r="B498" s="8"/>
      <c r="C498" s="8"/>
      <c r="D498" s="8"/>
      <c r="E498" s="8"/>
      <c r="F498" s="8"/>
      <c r="G498" s="8"/>
      <c r="H498" s="8"/>
      <c r="I498" s="8"/>
      <c r="J498" s="8"/>
      <c r="K498" s="8"/>
      <c r="L498" s="528"/>
      <c r="M498" s="528"/>
      <c r="N498" s="448"/>
      <c r="O498" s="448"/>
    </row>
    <row r="499" spans="1:15" x14ac:dyDescent="0.2">
      <c r="A499" s="8"/>
      <c r="B499" s="8"/>
      <c r="C499" s="8"/>
      <c r="D499" s="8"/>
      <c r="E499" s="8"/>
      <c r="F499" s="8"/>
      <c r="G499" s="8"/>
      <c r="H499" s="8"/>
      <c r="I499" s="8"/>
      <c r="J499" s="8"/>
      <c r="K499" s="8"/>
      <c r="L499" s="528"/>
      <c r="M499" s="528"/>
      <c r="N499" s="448"/>
      <c r="O499" s="448"/>
    </row>
    <row r="500" spans="1:15" x14ac:dyDescent="0.2">
      <c r="A500" s="8"/>
      <c r="B500" s="8"/>
      <c r="C500" s="8"/>
      <c r="D500" s="8"/>
      <c r="E500" s="8"/>
      <c r="F500" s="8"/>
      <c r="G500" s="8"/>
      <c r="H500" s="8"/>
      <c r="I500" s="8"/>
      <c r="J500" s="8"/>
      <c r="K500" s="8"/>
      <c r="L500" s="528"/>
      <c r="M500" s="528"/>
      <c r="N500" s="448"/>
      <c r="O500" s="448"/>
    </row>
    <row r="501" spans="1:15" x14ac:dyDescent="0.2">
      <c r="A501" s="8"/>
      <c r="B501" s="8"/>
      <c r="C501" s="8"/>
      <c r="D501" s="8"/>
      <c r="E501" s="8"/>
      <c r="F501" s="8"/>
      <c r="G501" s="8"/>
      <c r="H501" s="8"/>
      <c r="I501" s="8"/>
      <c r="J501" s="8"/>
      <c r="K501" s="8"/>
      <c r="L501" s="528"/>
      <c r="M501" s="528"/>
      <c r="N501" s="448"/>
      <c r="O501" s="448"/>
    </row>
    <row r="502" spans="1:15" x14ac:dyDescent="0.2">
      <c r="A502" s="8"/>
      <c r="B502" s="8"/>
      <c r="C502" s="8"/>
      <c r="D502" s="8"/>
      <c r="E502" s="8"/>
      <c r="F502" s="8"/>
      <c r="G502" s="8"/>
      <c r="H502" s="8"/>
      <c r="I502" s="8"/>
      <c r="J502" s="8"/>
      <c r="K502" s="8"/>
      <c r="L502" s="528"/>
      <c r="M502" s="528"/>
      <c r="N502" s="448"/>
      <c r="O502" s="448"/>
    </row>
    <row r="503" spans="1:15" x14ac:dyDescent="0.2">
      <c r="A503" s="8"/>
      <c r="B503" s="8"/>
      <c r="C503" s="8"/>
      <c r="D503" s="8"/>
      <c r="E503" s="8"/>
      <c r="F503" s="8"/>
      <c r="G503" s="8"/>
      <c r="H503" s="8"/>
      <c r="I503" s="8"/>
      <c r="J503" s="8"/>
      <c r="K503" s="8"/>
      <c r="L503" s="528"/>
      <c r="M503" s="528"/>
      <c r="N503" s="448"/>
      <c r="O503" s="448"/>
    </row>
    <row r="504" spans="1:15" x14ac:dyDescent="0.2">
      <c r="A504" s="8"/>
      <c r="B504" s="8"/>
      <c r="C504" s="8"/>
      <c r="D504" s="8"/>
      <c r="E504" s="8"/>
      <c r="F504" s="8"/>
      <c r="G504" s="8"/>
      <c r="H504" s="8"/>
      <c r="I504" s="8"/>
      <c r="J504" s="8"/>
      <c r="K504" s="8"/>
      <c r="L504" s="528"/>
      <c r="M504" s="528"/>
      <c r="N504" s="448"/>
      <c r="O504" s="448"/>
    </row>
    <row r="505" spans="1:15" x14ac:dyDescent="0.2">
      <c r="A505" s="8"/>
      <c r="B505" s="8"/>
      <c r="C505" s="8"/>
      <c r="D505" s="8"/>
      <c r="E505" s="8"/>
      <c r="F505" s="8"/>
      <c r="G505" s="8"/>
      <c r="H505" s="8"/>
      <c r="I505" s="8"/>
      <c r="J505" s="8"/>
      <c r="K505" s="8"/>
      <c r="L505" s="528"/>
      <c r="M505" s="528"/>
      <c r="N505" s="448"/>
      <c r="O505" s="448"/>
    </row>
    <row r="506" spans="1:15" x14ac:dyDescent="0.2">
      <c r="A506" s="8"/>
      <c r="B506" s="8"/>
      <c r="C506" s="8"/>
      <c r="D506" s="8"/>
      <c r="E506" s="8"/>
      <c r="F506" s="8"/>
      <c r="G506" s="8"/>
      <c r="H506" s="8"/>
      <c r="I506" s="8"/>
      <c r="J506" s="8"/>
      <c r="K506" s="8"/>
      <c r="L506" s="528"/>
      <c r="M506" s="528"/>
      <c r="N506" s="448"/>
      <c r="O506" s="448"/>
    </row>
    <row r="507" spans="1:15" x14ac:dyDescent="0.2">
      <c r="A507" s="8"/>
      <c r="B507" s="8"/>
      <c r="C507" s="8"/>
      <c r="D507" s="8"/>
      <c r="E507" s="8"/>
      <c r="F507" s="8"/>
      <c r="G507" s="8"/>
      <c r="H507" s="8"/>
      <c r="I507" s="8"/>
      <c r="J507" s="8"/>
      <c r="K507" s="8"/>
      <c r="L507" s="528"/>
      <c r="M507" s="528"/>
      <c r="N507" s="448"/>
      <c r="O507" s="448"/>
    </row>
    <row r="508" spans="1:15" x14ac:dyDescent="0.2">
      <c r="A508" s="8"/>
      <c r="B508" s="8"/>
      <c r="C508" s="8"/>
      <c r="D508" s="8"/>
      <c r="E508" s="8"/>
      <c r="F508" s="8"/>
      <c r="G508" s="8"/>
      <c r="H508" s="8"/>
      <c r="I508" s="8"/>
      <c r="J508" s="8"/>
      <c r="K508" s="8"/>
      <c r="L508" s="528"/>
      <c r="M508" s="528"/>
      <c r="N508" s="448"/>
      <c r="O508" s="448"/>
    </row>
    <row r="509" spans="1:15" x14ac:dyDescent="0.2">
      <c r="A509" s="8"/>
      <c r="B509" s="8"/>
      <c r="C509" s="8"/>
      <c r="D509" s="8"/>
      <c r="E509" s="8"/>
      <c r="F509" s="8"/>
      <c r="G509" s="8"/>
      <c r="H509" s="8"/>
      <c r="I509" s="8"/>
      <c r="J509" s="8"/>
      <c r="K509" s="8"/>
      <c r="L509" s="528"/>
      <c r="M509" s="528"/>
      <c r="N509" s="448"/>
      <c r="O509" s="448"/>
    </row>
    <row r="510" spans="1:15" x14ac:dyDescent="0.2">
      <c r="A510" s="8"/>
      <c r="B510" s="8"/>
      <c r="C510" s="8"/>
      <c r="D510" s="8"/>
      <c r="E510" s="8"/>
      <c r="F510" s="8"/>
      <c r="G510" s="8"/>
      <c r="H510" s="8"/>
      <c r="I510" s="8"/>
      <c r="J510" s="8"/>
      <c r="K510" s="8"/>
      <c r="L510" s="528"/>
      <c r="M510" s="528"/>
      <c r="N510" s="448"/>
      <c r="O510" s="448"/>
    </row>
    <row r="511" spans="1:15" x14ac:dyDescent="0.2">
      <c r="A511" s="8"/>
      <c r="B511" s="8"/>
      <c r="C511" s="8"/>
      <c r="D511" s="8"/>
      <c r="E511" s="8"/>
      <c r="F511" s="8"/>
      <c r="G511" s="8"/>
      <c r="H511" s="8"/>
      <c r="I511" s="8"/>
      <c r="J511" s="8"/>
      <c r="K511" s="8"/>
      <c r="L511" s="528"/>
      <c r="M511" s="528"/>
      <c r="N511" s="448"/>
      <c r="O511" s="448"/>
    </row>
    <row r="512" spans="1:15" x14ac:dyDescent="0.2">
      <c r="A512" s="8"/>
      <c r="B512" s="8"/>
      <c r="C512" s="8"/>
      <c r="D512" s="8"/>
      <c r="E512" s="8"/>
      <c r="F512" s="8"/>
      <c r="G512" s="8"/>
      <c r="H512" s="8"/>
      <c r="I512" s="8"/>
      <c r="J512" s="8"/>
      <c r="K512" s="8"/>
      <c r="L512" s="528"/>
      <c r="M512" s="528"/>
      <c r="N512" s="448"/>
      <c r="O512" s="448"/>
    </row>
    <row r="513" spans="1:15" x14ac:dyDescent="0.2">
      <c r="A513" s="8"/>
      <c r="B513" s="8"/>
      <c r="C513" s="8"/>
      <c r="D513" s="8"/>
      <c r="E513" s="8"/>
      <c r="F513" s="8"/>
      <c r="G513" s="8"/>
      <c r="H513" s="8"/>
      <c r="I513" s="8"/>
      <c r="J513" s="8"/>
      <c r="K513" s="8"/>
      <c r="L513" s="528"/>
      <c r="M513" s="528"/>
      <c r="N513" s="448"/>
      <c r="O513" s="448"/>
    </row>
    <row r="514" spans="1:15" x14ac:dyDescent="0.2">
      <c r="A514" s="8"/>
      <c r="B514" s="8"/>
      <c r="C514" s="8"/>
      <c r="D514" s="8"/>
      <c r="E514" s="8"/>
      <c r="F514" s="8"/>
      <c r="G514" s="8"/>
      <c r="H514" s="8"/>
      <c r="I514" s="8"/>
      <c r="J514" s="8"/>
      <c r="K514" s="8"/>
      <c r="L514" s="528"/>
      <c r="M514" s="528"/>
      <c r="N514" s="448"/>
      <c r="O514" s="448"/>
    </row>
    <row r="515" spans="1:15" x14ac:dyDescent="0.2">
      <c r="A515" s="8"/>
      <c r="B515" s="8"/>
      <c r="C515" s="8"/>
      <c r="D515" s="8"/>
      <c r="E515" s="8"/>
      <c r="F515" s="8"/>
      <c r="G515" s="8"/>
      <c r="H515" s="8"/>
      <c r="I515" s="8"/>
      <c r="J515" s="8"/>
      <c r="K515" s="8"/>
      <c r="L515" s="528"/>
      <c r="M515" s="528"/>
      <c r="N515" s="448"/>
      <c r="O515" s="448"/>
    </row>
    <row r="516" spans="1:15" x14ac:dyDescent="0.2">
      <c r="A516" s="8"/>
      <c r="B516" s="8"/>
      <c r="C516" s="8"/>
      <c r="D516" s="8"/>
      <c r="E516" s="8"/>
      <c r="F516" s="8"/>
      <c r="G516" s="8"/>
      <c r="H516" s="8"/>
      <c r="I516" s="8"/>
      <c r="J516" s="8"/>
      <c r="K516" s="8"/>
      <c r="L516" s="528"/>
      <c r="M516" s="528"/>
      <c r="N516" s="448"/>
      <c r="O516" s="448"/>
    </row>
    <row r="517" spans="1:15" x14ac:dyDescent="0.2">
      <c r="A517" s="8"/>
      <c r="B517" s="8"/>
      <c r="C517" s="8"/>
      <c r="D517" s="8"/>
      <c r="E517" s="8"/>
      <c r="F517" s="8"/>
      <c r="G517" s="8"/>
      <c r="H517" s="8"/>
      <c r="I517" s="8"/>
      <c r="J517" s="8"/>
      <c r="K517" s="8"/>
      <c r="L517" s="528"/>
      <c r="M517" s="528"/>
      <c r="N517" s="448"/>
      <c r="O517" s="448"/>
    </row>
    <row r="518" spans="1:15" x14ac:dyDescent="0.2">
      <c r="A518" s="8"/>
      <c r="B518" s="8"/>
      <c r="C518" s="8"/>
      <c r="D518" s="8"/>
      <c r="E518" s="8"/>
      <c r="F518" s="8"/>
      <c r="G518" s="8"/>
      <c r="H518" s="8"/>
      <c r="I518" s="8"/>
      <c r="J518" s="8"/>
      <c r="K518" s="8"/>
      <c r="L518" s="528"/>
      <c r="M518" s="528"/>
      <c r="N518" s="448"/>
      <c r="O518" s="448"/>
    </row>
    <row r="519" spans="1:15" x14ac:dyDescent="0.2">
      <c r="A519" s="8"/>
      <c r="B519" s="8"/>
      <c r="C519" s="8"/>
      <c r="D519" s="8"/>
      <c r="E519" s="8"/>
      <c r="F519" s="8"/>
      <c r="G519" s="8"/>
      <c r="H519" s="8"/>
      <c r="I519" s="8"/>
      <c r="J519" s="8"/>
      <c r="K519" s="8"/>
      <c r="L519" s="528"/>
      <c r="M519" s="528"/>
      <c r="N519" s="448"/>
      <c r="O519" s="448"/>
    </row>
    <row r="520" spans="1:15" x14ac:dyDescent="0.2">
      <c r="A520" s="8"/>
      <c r="B520" s="8"/>
      <c r="C520" s="8"/>
      <c r="D520" s="8"/>
      <c r="E520" s="8"/>
      <c r="F520" s="8"/>
      <c r="G520" s="8"/>
      <c r="H520" s="8"/>
      <c r="I520" s="8"/>
      <c r="J520" s="8"/>
      <c r="K520" s="8"/>
      <c r="L520" s="528"/>
      <c r="M520" s="528"/>
      <c r="N520" s="448"/>
      <c r="O520" s="448"/>
    </row>
    <row r="521" spans="1:15" x14ac:dyDescent="0.2">
      <c r="A521" s="8"/>
      <c r="B521" s="8"/>
      <c r="C521" s="8"/>
      <c r="D521" s="8"/>
      <c r="E521" s="8"/>
      <c r="F521" s="8"/>
      <c r="G521" s="8"/>
      <c r="H521" s="8"/>
      <c r="I521" s="8"/>
      <c r="J521" s="8"/>
      <c r="K521" s="8"/>
      <c r="L521" s="528"/>
      <c r="M521" s="528"/>
      <c r="N521" s="448"/>
      <c r="O521" s="448"/>
    </row>
    <row r="522" spans="1:15" x14ac:dyDescent="0.2">
      <c r="A522" s="8"/>
      <c r="B522" s="8"/>
      <c r="C522" s="8"/>
      <c r="D522" s="8"/>
      <c r="E522" s="8"/>
      <c r="F522" s="8"/>
      <c r="G522" s="8"/>
      <c r="H522" s="8"/>
      <c r="I522" s="8"/>
      <c r="J522" s="8"/>
      <c r="K522" s="8"/>
      <c r="L522" s="528"/>
      <c r="M522" s="528"/>
      <c r="N522" s="448"/>
      <c r="O522" s="448"/>
    </row>
    <row r="523" spans="1:15" x14ac:dyDescent="0.2">
      <c r="A523" s="8"/>
      <c r="B523" s="8"/>
      <c r="C523" s="8"/>
      <c r="D523" s="8"/>
      <c r="E523" s="8"/>
      <c r="F523" s="8"/>
      <c r="G523" s="8"/>
      <c r="H523" s="8"/>
      <c r="I523" s="8"/>
      <c r="J523" s="8"/>
      <c r="K523" s="8"/>
      <c r="L523" s="528"/>
      <c r="M523" s="528"/>
      <c r="N523" s="448"/>
      <c r="O523" s="448"/>
    </row>
    <row r="524" spans="1:15" x14ac:dyDescent="0.2">
      <c r="A524" s="8"/>
      <c r="B524" s="8"/>
      <c r="C524" s="8"/>
      <c r="D524" s="8"/>
      <c r="E524" s="8"/>
      <c r="F524" s="8"/>
      <c r="G524" s="8"/>
      <c r="H524" s="8"/>
      <c r="I524" s="8"/>
      <c r="J524" s="8"/>
      <c r="K524" s="8"/>
      <c r="L524" s="528"/>
      <c r="M524" s="528"/>
      <c r="N524" s="448"/>
      <c r="O524" s="448"/>
    </row>
    <row r="525" spans="1:15" x14ac:dyDescent="0.2">
      <c r="A525" s="8"/>
      <c r="B525" s="8"/>
      <c r="C525" s="8"/>
      <c r="D525" s="8"/>
      <c r="E525" s="8"/>
      <c r="F525" s="8"/>
      <c r="G525" s="8"/>
      <c r="H525" s="8"/>
      <c r="I525" s="8"/>
      <c r="J525" s="8"/>
      <c r="K525" s="8"/>
      <c r="L525" s="528"/>
      <c r="M525" s="528"/>
      <c r="N525" s="448"/>
      <c r="O525" s="448"/>
    </row>
    <row r="526" spans="1:15" x14ac:dyDescent="0.2">
      <c r="A526" s="8"/>
      <c r="B526" s="8"/>
      <c r="C526" s="8"/>
      <c r="D526" s="8"/>
      <c r="E526" s="8"/>
      <c r="F526" s="8"/>
      <c r="G526" s="8"/>
      <c r="H526" s="8"/>
      <c r="I526" s="8"/>
      <c r="J526" s="8"/>
      <c r="K526" s="8"/>
      <c r="L526" s="528"/>
      <c r="M526" s="528"/>
      <c r="N526" s="448"/>
      <c r="O526" s="448"/>
    </row>
    <row r="527" spans="1:15" x14ac:dyDescent="0.2">
      <c r="A527" s="8"/>
      <c r="B527" s="8"/>
      <c r="C527" s="8"/>
      <c r="D527" s="8"/>
      <c r="E527" s="8"/>
      <c r="F527" s="8"/>
      <c r="G527" s="8"/>
      <c r="H527" s="8"/>
      <c r="I527" s="8"/>
      <c r="J527" s="8"/>
      <c r="K527" s="8"/>
      <c r="L527" s="528"/>
      <c r="M527" s="528"/>
      <c r="N527" s="448"/>
      <c r="O527" s="448"/>
    </row>
    <row r="528" spans="1:15" x14ac:dyDescent="0.2">
      <c r="A528" s="8"/>
      <c r="B528" s="8"/>
      <c r="C528" s="8"/>
      <c r="D528" s="8"/>
      <c r="E528" s="8"/>
      <c r="F528" s="8"/>
      <c r="G528" s="8"/>
      <c r="H528" s="8"/>
      <c r="I528" s="8"/>
      <c r="J528" s="8"/>
      <c r="K528" s="8"/>
      <c r="L528" s="528"/>
      <c r="M528" s="528"/>
      <c r="N528" s="448"/>
      <c r="O528" s="448"/>
    </row>
    <row r="529" spans="1:15" x14ac:dyDescent="0.2">
      <c r="A529" s="8"/>
      <c r="B529" s="8"/>
      <c r="C529" s="8"/>
      <c r="D529" s="8"/>
      <c r="E529" s="8"/>
      <c r="F529" s="8"/>
      <c r="G529" s="8"/>
      <c r="H529" s="8"/>
      <c r="I529" s="8"/>
      <c r="J529" s="8"/>
      <c r="K529" s="8"/>
      <c r="L529" s="528"/>
      <c r="M529" s="528"/>
      <c r="N529" s="448"/>
      <c r="O529" s="448"/>
    </row>
    <row r="530" spans="1:15" x14ac:dyDescent="0.2">
      <c r="A530" s="8"/>
      <c r="B530" s="8"/>
      <c r="C530" s="8"/>
      <c r="D530" s="8"/>
      <c r="E530" s="8"/>
      <c r="F530" s="8"/>
      <c r="G530" s="8"/>
      <c r="H530" s="8"/>
      <c r="I530" s="8"/>
      <c r="J530" s="8"/>
      <c r="K530" s="8"/>
      <c r="L530" s="528"/>
      <c r="M530" s="528"/>
      <c r="N530" s="448"/>
      <c r="O530" s="448"/>
    </row>
    <row r="531" spans="1:15" x14ac:dyDescent="0.2">
      <c r="A531" s="8"/>
      <c r="B531" s="8"/>
      <c r="C531" s="8"/>
      <c r="D531" s="8"/>
      <c r="E531" s="8"/>
      <c r="F531" s="8"/>
      <c r="G531" s="8"/>
      <c r="H531" s="8"/>
      <c r="I531" s="8"/>
      <c r="J531" s="8"/>
      <c r="K531" s="8"/>
      <c r="L531" s="528"/>
      <c r="M531" s="528"/>
      <c r="N531" s="448"/>
      <c r="O531" s="448"/>
    </row>
    <row r="532" spans="1:15" x14ac:dyDescent="0.2">
      <c r="A532" s="8"/>
      <c r="B532" s="8"/>
      <c r="C532" s="8"/>
      <c r="D532" s="8"/>
      <c r="E532" s="8"/>
      <c r="F532" s="8"/>
      <c r="G532" s="8"/>
      <c r="H532" s="8"/>
      <c r="I532" s="8"/>
      <c r="J532" s="8"/>
      <c r="K532" s="8"/>
      <c r="L532" s="528"/>
      <c r="M532" s="528"/>
      <c r="N532" s="448"/>
      <c r="O532" s="448"/>
    </row>
    <row r="533" spans="1:15" x14ac:dyDescent="0.2">
      <c r="A533" s="8"/>
      <c r="B533" s="8"/>
      <c r="C533" s="8"/>
      <c r="D533" s="8"/>
      <c r="E533" s="8"/>
      <c r="F533" s="8"/>
      <c r="G533" s="8"/>
      <c r="H533" s="8"/>
      <c r="I533" s="8"/>
      <c r="J533" s="8"/>
      <c r="K533" s="8"/>
      <c r="L533" s="528"/>
      <c r="M533" s="528"/>
      <c r="N533" s="448"/>
      <c r="O533" s="448"/>
    </row>
    <row r="534" spans="1:15" x14ac:dyDescent="0.2">
      <c r="A534" s="8"/>
      <c r="B534" s="8"/>
      <c r="C534" s="8"/>
      <c r="D534" s="8"/>
      <c r="E534" s="8"/>
      <c r="F534" s="8"/>
      <c r="G534" s="8"/>
      <c r="H534" s="8"/>
      <c r="I534" s="8"/>
      <c r="J534" s="8"/>
      <c r="K534" s="8"/>
      <c r="L534" s="528"/>
      <c r="M534" s="528"/>
      <c r="N534" s="448"/>
      <c r="O534" s="448"/>
    </row>
    <row r="535" spans="1:15" x14ac:dyDescent="0.2">
      <c r="A535" s="8"/>
      <c r="B535" s="8"/>
      <c r="C535" s="8"/>
      <c r="D535" s="8"/>
      <c r="E535" s="8"/>
      <c r="F535" s="8"/>
      <c r="G535" s="8"/>
      <c r="H535" s="8"/>
      <c r="I535" s="8"/>
      <c r="J535" s="8"/>
      <c r="K535" s="8"/>
      <c r="L535" s="528"/>
      <c r="M535" s="528"/>
      <c r="N535" s="448"/>
      <c r="O535" s="448"/>
    </row>
    <row r="536" spans="1:15" x14ac:dyDescent="0.2">
      <c r="A536" s="8"/>
      <c r="B536" s="8"/>
      <c r="C536" s="8"/>
      <c r="D536" s="8"/>
      <c r="E536" s="8"/>
      <c r="F536" s="8"/>
      <c r="G536" s="8"/>
      <c r="H536" s="8"/>
      <c r="I536" s="8"/>
      <c r="J536" s="8"/>
      <c r="K536" s="8"/>
      <c r="L536" s="528"/>
      <c r="M536" s="528"/>
      <c r="N536" s="448"/>
      <c r="O536" s="448"/>
    </row>
    <row r="537" spans="1:15" x14ac:dyDescent="0.2">
      <c r="A537" s="8"/>
      <c r="B537" s="8"/>
      <c r="C537" s="8"/>
      <c r="D537" s="8"/>
      <c r="E537" s="8"/>
      <c r="F537" s="8"/>
      <c r="G537" s="8"/>
      <c r="H537" s="8"/>
      <c r="I537" s="8"/>
      <c r="J537" s="8"/>
      <c r="K537" s="8"/>
      <c r="L537" s="528"/>
      <c r="M537" s="528"/>
      <c r="N537" s="448"/>
      <c r="O537" s="448"/>
    </row>
    <row r="538" spans="1:15" x14ac:dyDescent="0.2">
      <c r="A538" s="8"/>
      <c r="B538" s="8"/>
      <c r="C538" s="8"/>
      <c r="D538" s="8"/>
      <c r="E538" s="8"/>
      <c r="F538" s="8"/>
      <c r="G538" s="8"/>
      <c r="H538" s="8"/>
      <c r="I538" s="8"/>
      <c r="J538" s="8"/>
      <c r="K538" s="8"/>
      <c r="L538" s="528"/>
      <c r="M538" s="528"/>
      <c r="N538" s="448"/>
      <c r="O538" s="448"/>
    </row>
    <row r="539" spans="1:15" x14ac:dyDescent="0.2">
      <c r="A539" s="8"/>
      <c r="B539" s="8"/>
      <c r="C539" s="8"/>
      <c r="D539" s="8"/>
      <c r="E539" s="8"/>
      <c r="F539" s="8"/>
      <c r="G539" s="8"/>
      <c r="H539" s="8"/>
      <c r="I539" s="8"/>
      <c r="J539" s="8"/>
      <c r="K539" s="8"/>
      <c r="L539" s="528"/>
      <c r="M539" s="528"/>
      <c r="N539" s="448"/>
      <c r="O539" s="448"/>
    </row>
    <row r="540" spans="1:15" x14ac:dyDescent="0.2">
      <c r="A540" s="8"/>
      <c r="B540" s="8"/>
      <c r="C540" s="8"/>
      <c r="D540" s="8"/>
      <c r="E540" s="8"/>
      <c r="F540" s="8"/>
      <c r="G540" s="8"/>
      <c r="H540" s="8"/>
      <c r="I540" s="8"/>
      <c r="J540" s="8"/>
      <c r="K540" s="8"/>
      <c r="L540" s="528"/>
      <c r="M540" s="528"/>
      <c r="N540" s="448"/>
      <c r="O540" s="448"/>
    </row>
    <row r="541" spans="1:15" x14ac:dyDescent="0.2">
      <c r="A541" s="8"/>
      <c r="B541" s="8"/>
      <c r="C541" s="8"/>
      <c r="D541" s="8"/>
      <c r="E541" s="8"/>
      <c r="F541" s="8"/>
      <c r="G541" s="8"/>
      <c r="H541" s="8"/>
      <c r="I541" s="8"/>
      <c r="J541" s="8"/>
      <c r="K541" s="8"/>
      <c r="L541" s="528"/>
      <c r="M541" s="528"/>
      <c r="N541" s="448"/>
      <c r="O541" s="448"/>
    </row>
    <row r="542" spans="1:15" x14ac:dyDescent="0.2">
      <c r="A542" s="8"/>
      <c r="B542" s="8"/>
      <c r="C542" s="8"/>
      <c r="D542" s="8"/>
      <c r="E542" s="8"/>
      <c r="F542" s="8"/>
      <c r="G542" s="8"/>
      <c r="H542" s="8"/>
      <c r="I542" s="8"/>
      <c r="J542" s="8"/>
      <c r="K542" s="8"/>
      <c r="L542" s="528"/>
      <c r="M542" s="528"/>
      <c r="N542" s="448"/>
      <c r="O542" s="448"/>
    </row>
    <row r="543" spans="1:15" x14ac:dyDescent="0.2">
      <c r="A543" s="8"/>
      <c r="B543" s="8"/>
      <c r="C543" s="8"/>
      <c r="D543" s="8"/>
      <c r="E543" s="8"/>
      <c r="F543" s="8"/>
      <c r="G543" s="8"/>
      <c r="H543" s="8"/>
      <c r="I543" s="8"/>
      <c r="J543" s="8"/>
      <c r="K543" s="8"/>
      <c r="L543" s="528"/>
      <c r="M543" s="528"/>
      <c r="N543" s="448"/>
      <c r="O543" s="448"/>
    </row>
    <row r="544" spans="1:15" x14ac:dyDescent="0.2">
      <c r="A544" s="8"/>
      <c r="B544" s="8"/>
      <c r="C544" s="8"/>
      <c r="D544" s="8"/>
      <c r="E544" s="8"/>
      <c r="F544" s="8"/>
      <c r="G544" s="8"/>
      <c r="H544" s="8"/>
      <c r="I544" s="8"/>
      <c r="J544" s="8"/>
      <c r="K544" s="8"/>
      <c r="L544" s="528"/>
      <c r="M544" s="528"/>
      <c r="N544" s="448"/>
      <c r="O544" s="448"/>
    </row>
    <row r="545" spans="1:15" x14ac:dyDescent="0.2">
      <c r="A545" s="8"/>
      <c r="B545" s="8"/>
      <c r="C545" s="8"/>
      <c r="D545" s="8"/>
      <c r="E545" s="8"/>
      <c r="F545" s="8"/>
      <c r="G545" s="8"/>
      <c r="H545" s="8"/>
      <c r="I545" s="8"/>
      <c r="J545" s="8"/>
      <c r="K545" s="8"/>
      <c r="L545" s="528"/>
      <c r="M545" s="528"/>
      <c r="N545" s="448"/>
      <c r="O545" s="448"/>
    </row>
    <row r="546" spans="1:15" x14ac:dyDescent="0.2">
      <c r="A546" s="8"/>
      <c r="B546" s="8"/>
      <c r="C546" s="8"/>
      <c r="D546" s="8"/>
      <c r="E546" s="8"/>
      <c r="F546" s="8"/>
      <c r="G546" s="8"/>
      <c r="H546" s="8"/>
      <c r="I546" s="8"/>
      <c r="J546" s="8"/>
      <c r="K546" s="8"/>
      <c r="L546" s="528"/>
      <c r="M546" s="528"/>
      <c r="N546" s="448"/>
      <c r="O546" s="448"/>
    </row>
    <row r="547" spans="1:15" x14ac:dyDescent="0.2">
      <c r="A547" s="8"/>
      <c r="B547" s="8"/>
      <c r="C547" s="8"/>
      <c r="D547" s="8"/>
      <c r="E547" s="8"/>
      <c r="F547" s="8"/>
      <c r="G547" s="8"/>
      <c r="H547" s="8"/>
      <c r="I547" s="8"/>
      <c r="J547" s="8"/>
      <c r="K547" s="8"/>
      <c r="L547" s="528"/>
      <c r="M547" s="528"/>
      <c r="N547" s="448"/>
      <c r="O547" s="448"/>
    </row>
    <row r="548" spans="1:15" x14ac:dyDescent="0.2">
      <c r="A548" s="8"/>
      <c r="B548" s="8"/>
      <c r="C548" s="8"/>
      <c r="D548" s="8"/>
      <c r="E548" s="8"/>
      <c r="F548" s="8"/>
      <c r="G548" s="8"/>
      <c r="H548" s="8"/>
      <c r="I548" s="8"/>
      <c r="J548" s="8"/>
      <c r="K548" s="8"/>
      <c r="L548" s="528"/>
      <c r="M548" s="528"/>
      <c r="N548" s="448"/>
      <c r="O548" s="448"/>
    </row>
    <row r="549" spans="1:15" x14ac:dyDescent="0.2">
      <c r="A549" s="8"/>
      <c r="B549" s="8"/>
      <c r="C549" s="8"/>
      <c r="D549" s="8"/>
      <c r="E549" s="8"/>
      <c r="F549" s="8"/>
      <c r="G549" s="8"/>
      <c r="H549" s="8"/>
      <c r="I549" s="8"/>
      <c r="J549" s="8"/>
      <c r="K549" s="8"/>
      <c r="L549" s="528"/>
      <c r="M549" s="528"/>
      <c r="N549" s="448"/>
      <c r="O549" s="448"/>
    </row>
    <row r="550" spans="1:15" x14ac:dyDescent="0.2">
      <c r="A550" s="8"/>
      <c r="B550" s="8"/>
      <c r="C550" s="8"/>
      <c r="D550" s="8"/>
      <c r="E550" s="8"/>
      <c r="F550" s="8"/>
      <c r="G550" s="8"/>
      <c r="H550" s="8"/>
      <c r="I550" s="8"/>
      <c r="J550" s="8"/>
      <c r="K550" s="8"/>
      <c r="L550" s="528"/>
      <c r="M550" s="528"/>
      <c r="N550" s="448"/>
      <c r="O550" s="448"/>
    </row>
    <row r="551" spans="1:15" x14ac:dyDescent="0.2">
      <c r="A551" s="8"/>
      <c r="B551" s="8"/>
      <c r="C551" s="8"/>
      <c r="D551" s="8"/>
      <c r="E551" s="8"/>
      <c r="F551" s="8"/>
      <c r="G551" s="8"/>
      <c r="H551" s="8"/>
      <c r="I551" s="8"/>
      <c r="J551" s="8"/>
      <c r="K551" s="8"/>
      <c r="L551" s="528"/>
      <c r="M551" s="528"/>
      <c r="N551" s="448"/>
      <c r="O551" s="448"/>
    </row>
    <row r="552" spans="1:15" x14ac:dyDescent="0.2">
      <c r="A552" s="8"/>
      <c r="B552" s="8"/>
      <c r="C552" s="8"/>
      <c r="D552" s="8"/>
      <c r="E552" s="8"/>
      <c r="F552" s="8"/>
      <c r="G552" s="8"/>
      <c r="H552" s="8"/>
      <c r="I552" s="8"/>
      <c r="J552" s="8"/>
      <c r="K552" s="8"/>
      <c r="L552" s="528"/>
      <c r="M552" s="528"/>
      <c r="N552" s="448"/>
      <c r="O552" s="448"/>
    </row>
    <row r="553" spans="1:15" x14ac:dyDescent="0.2">
      <c r="A553" s="8"/>
      <c r="B553" s="8"/>
      <c r="C553" s="8"/>
      <c r="D553" s="8"/>
      <c r="E553" s="8"/>
      <c r="F553" s="8"/>
      <c r="G553" s="8"/>
      <c r="H553" s="8"/>
      <c r="I553" s="8"/>
      <c r="J553" s="8"/>
      <c r="K553" s="8"/>
      <c r="L553" s="528"/>
      <c r="M553" s="528"/>
      <c r="N553" s="448"/>
      <c r="O553" s="448"/>
    </row>
    <row r="554" spans="1:15" x14ac:dyDescent="0.2">
      <c r="A554" s="8"/>
      <c r="B554" s="8"/>
      <c r="C554" s="8"/>
      <c r="D554" s="8"/>
      <c r="E554" s="8"/>
      <c r="F554" s="8"/>
      <c r="G554" s="8"/>
      <c r="H554" s="8"/>
      <c r="I554" s="8"/>
      <c r="J554" s="8"/>
      <c r="K554" s="8"/>
      <c r="L554" s="528"/>
      <c r="M554" s="528"/>
      <c r="N554" s="448"/>
      <c r="O554" s="448"/>
    </row>
    <row r="555" spans="1:15" x14ac:dyDescent="0.2">
      <c r="A555" s="8"/>
      <c r="B555" s="8"/>
      <c r="C555" s="8"/>
      <c r="D555" s="8"/>
      <c r="E555" s="8"/>
      <c r="F555" s="8"/>
      <c r="G555" s="8"/>
      <c r="H555" s="8"/>
      <c r="I555" s="8"/>
      <c r="J555" s="8"/>
      <c r="K555" s="8"/>
      <c r="L555" s="528"/>
      <c r="M555" s="528"/>
      <c r="N555" s="448"/>
      <c r="O555" s="448"/>
    </row>
    <row r="556" spans="1:15" x14ac:dyDescent="0.2">
      <c r="A556" s="8"/>
      <c r="B556" s="8"/>
      <c r="C556" s="8"/>
      <c r="D556" s="8"/>
      <c r="E556" s="8"/>
      <c r="F556" s="8"/>
      <c r="G556" s="8"/>
      <c r="H556" s="8"/>
      <c r="I556" s="8"/>
      <c r="J556" s="8"/>
      <c r="K556" s="8"/>
      <c r="L556" s="528"/>
      <c r="M556" s="528"/>
      <c r="N556" s="448"/>
      <c r="O556" s="448"/>
    </row>
    <row r="557" spans="1:15" x14ac:dyDescent="0.2">
      <c r="A557" s="8"/>
      <c r="B557" s="8"/>
      <c r="C557" s="8"/>
      <c r="D557" s="8"/>
      <c r="E557" s="8"/>
      <c r="F557" s="8"/>
      <c r="G557" s="8"/>
      <c r="H557" s="8"/>
      <c r="I557" s="8"/>
      <c r="J557" s="8"/>
      <c r="K557" s="8"/>
      <c r="L557" s="528"/>
      <c r="M557" s="528"/>
      <c r="N557" s="448"/>
      <c r="O557" s="448"/>
    </row>
    <row r="558" spans="1:15" x14ac:dyDescent="0.2">
      <c r="A558" s="8"/>
      <c r="B558" s="8"/>
      <c r="C558" s="8"/>
      <c r="D558" s="8"/>
      <c r="E558" s="8"/>
      <c r="F558" s="8"/>
      <c r="G558" s="8"/>
      <c r="H558" s="8"/>
      <c r="I558" s="8"/>
      <c r="J558" s="8"/>
      <c r="K558" s="8"/>
      <c r="L558" s="528"/>
      <c r="M558" s="528"/>
      <c r="N558" s="448"/>
      <c r="O558" s="448"/>
    </row>
    <row r="559" spans="1:15" x14ac:dyDescent="0.2">
      <c r="A559" s="8"/>
      <c r="B559" s="8"/>
      <c r="C559" s="8"/>
      <c r="D559" s="8"/>
      <c r="E559" s="8"/>
      <c r="F559" s="8"/>
      <c r="G559" s="8"/>
      <c r="H559" s="8"/>
      <c r="I559" s="8"/>
      <c r="J559" s="8"/>
      <c r="K559" s="8"/>
      <c r="L559" s="528"/>
      <c r="M559" s="528"/>
      <c r="N559" s="448"/>
      <c r="O559" s="448"/>
    </row>
    <row r="560" spans="1:15" x14ac:dyDescent="0.2">
      <c r="A560" s="8"/>
      <c r="B560" s="8"/>
      <c r="C560" s="8"/>
      <c r="D560" s="8"/>
      <c r="E560" s="8"/>
      <c r="F560" s="8"/>
      <c r="G560" s="8"/>
      <c r="H560" s="8"/>
      <c r="I560" s="8"/>
      <c r="J560" s="8"/>
      <c r="K560" s="8"/>
      <c r="L560" s="528"/>
      <c r="M560" s="528"/>
      <c r="N560" s="448"/>
      <c r="O560" s="448"/>
    </row>
    <row r="561" spans="1:15" x14ac:dyDescent="0.2">
      <c r="A561" s="8"/>
      <c r="B561" s="8"/>
      <c r="C561" s="8"/>
      <c r="D561" s="8"/>
      <c r="E561" s="8"/>
      <c r="F561" s="8"/>
      <c r="G561" s="8"/>
      <c r="H561" s="8"/>
      <c r="I561" s="8"/>
      <c r="J561" s="8"/>
      <c r="K561" s="8"/>
      <c r="L561" s="528"/>
      <c r="M561" s="528"/>
      <c r="N561" s="448"/>
      <c r="O561" s="448"/>
    </row>
    <row r="562" spans="1:15" x14ac:dyDescent="0.2">
      <c r="A562" s="8"/>
      <c r="B562" s="8"/>
      <c r="C562" s="8"/>
      <c r="D562" s="8"/>
      <c r="E562" s="8"/>
      <c r="F562" s="8"/>
      <c r="G562" s="8"/>
      <c r="H562" s="8"/>
      <c r="I562" s="8"/>
      <c r="J562" s="8"/>
      <c r="K562" s="8"/>
      <c r="L562" s="528"/>
      <c r="M562" s="528"/>
      <c r="N562" s="448"/>
      <c r="O562" s="448"/>
    </row>
    <row r="563" spans="1:15" x14ac:dyDescent="0.2">
      <c r="A563" s="8"/>
      <c r="B563" s="8"/>
      <c r="C563" s="8"/>
      <c r="D563" s="8"/>
      <c r="E563" s="8"/>
      <c r="F563" s="8"/>
      <c r="G563" s="8"/>
      <c r="H563" s="8"/>
      <c r="I563" s="8"/>
      <c r="J563" s="8"/>
      <c r="K563" s="8"/>
      <c r="L563" s="528"/>
      <c r="M563" s="528"/>
      <c r="N563" s="448"/>
      <c r="O563" s="448"/>
    </row>
    <row r="564" spans="1:15" x14ac:dyDescent="0.2">
      <c r="A564" s="8"/>
      <c r="B564" s="8"/>
      <c r="C564" s="8"/>
      <c r="D564" s="8"/>
      <c r="E564" s="8"/>
      <c r="F564" s="8"/>
      <c r="G564" s="8"/>
      <c r="H564" s="8"/>
      <c r="I564" s="8"/>
      <c r="J564" s="8"/>
      <c r="K564" s="8"/>
      <c r="L564" s="528"/>
      <c r="M564" s="528"/>
      <c r="N564" s="448"/>
      <c r="O564" s="448"/>
    </row>
    <row r="565" spans="1:15" x14ac:dyDescent="0.2">
      <c r="A565" s="8"/>
      <c r="B565" s="8"/>
      <c r="C565" s="8"/>
      <c r="D565" s="8"/>
      <c r="E565" s="8"/>
      <c r="F565" s="8"/>
      <c r="G565" s="8"/>
      <c r="H565" s="8"/>
      <c r="I565" s="8"/>
      <c r="J565" s="8"/>
      <c r="K565" s="8"/>
      <c r="L565" s="528"/>
      <c r="M565" s="528"/>
      <c r="N565" s="448"/>
      <c r="O565" s="448"/>
    </row>
    <row r="566" spans="1:15" x14ac:dyDescent="0.2">
      <c r="A566" s="8"/>
      <c r="B566" s="8"/>
      <c r="C566" s="8"/>
      <c r="D566" s="8"/>
      <c r="E566" s="8"/>
      <c r="F566" s="8"/>
      <c r="G566" s="8"/>
      <c r="H566" s="8"/>
      <c r="I566" s="8"/>
      <c r="J566" s="8"/>
      <c r="K566" s="8"/>
      <c r="L566" s="528"/>
      <c r="M566" s="528"/>
      <c r="N566" s="448"/>
      <c r="O566" s="448"/>
    </row>
    <row r="567" spans="1:15" x14ac:dyDescent="0.2">
      <c r="A567" s="8"/>
      <c r="B567" s="8"/>
      <c r="C567" s="8"/>
      <c r="D567" s="8"/>
      <c r="E567" s="8"/>
      <c r="F567" s="8"/>
      <c r="G567" s="8"/>
      <c r="H567" s="8"/>
      <c r="I567" s="8"/>
      <c r="J567" s="8"/>
      <c r="K567" s="8"/>
      <c r="L567" s="528"/>
      <c r="M567" s="528"/>
      <c r="N567" s="448"/>
      <c r="O567" s="448"/>
    </row>
    <row r="568" spans="1:15" x14ac:dyDescent="0.2">
      <c r="A568" s="8"/>
      <c r="B568" s="8"/>
      <c r="C568" s="8"/>
      <c r="D568" s="8"/>
      <c r="E568" s="8"/>
      <c r="F568" s="8"/>
      <c r="G568" s="8"/>
      <c r="H568" s="8"/>
      <c r="I568" s="8"/>
      <c r="J568" s="8"/>
      <c r="K568" s="8"/>
      <c r="L568" s="528"/>
      <c r="M568" s="528"/>
      <c r="N568" s="448"/>
      <c r="O568" s="448"/>
    </row>
    <row r="569" spans="1:15" x14ac:dyDescent="0.2">
      <c r="A569" s="8"/>
      <c r="B569" s="8"/>
      <c r="C569" s="8"/>
      <c r="D569" s="8"/>
      <c r="E569" s="8"/>
      <c r="F569" s="8"/>
      <c r="G569" s="8"/>
      <c r="H569" s="8"/>
      <c r="I569" s="8"/>
      <c r="J569" s="8"/>
      <c r="K569" s="8"/>
      <c r="L569" s="528"/>
      <c r="M569" s="528"/>
      <c r="N569" s="448"/>
      <c r="O569" s="448"/>
    </row>
    <row r="570" spans="1:15" x14ac:dyDescent="0.2">
      <c r="A570" s="8"/>
      <c r="B570" s="8"/>
      <c r="C570" s="8"/>
      <c r="D570" s="8"/>
      <c r="E570" s="8"/>
      <c r="F570" s="8"/>
      <c r="G570" s="8"/>
      <c r="H570" s="8"/>
      <c r="I570" s="8"/>
      <c r="J570" s="8"/>
      <c r="K570" s="8"/>
      <c r="L570" s="528"/>
      <c r="M570" s="528"/>
      <c r="N570" s="448"/>
      <c r="O570" s="448"/>
    </row>
    <row r="571" spans="1:15" x14ac:dyDescent="0.2">
      <c r="A571" s="8"/>
      <c r="B571" s="8"/>
      <c r="C571" s="8"/>
      <c r="D571" s="8"/>
      <c r="E571" s="8"/>
      <c r="F571" s="8"/>
      <c r="G571" s="8"/>
      <c r="H571" s="8"/>
      <c r="I571" s="8"/>
      <c r="J571" s="8"/>
      <c r="K571" s="8"/>
      <c r="L571" s="528"/>
      <c r="M571" s="528"/>
      <c r="N571" s="448"/>
      <c r="O571" s="448"/>
    </row>
    <row r="572" spans="1:15" x14ac:dyDescent="0.2">
      <c r="A572" s="8"/>
      <c r="B572" s="8"/>
      <c r="C572" s="8"/>
      <c r="D572" s="8"/>
      <c r="E572" s="8"/>
      <c r="F572" s="8"/>
      <c r="G572" s="8"/>
      <c r="H572" s="8"/>
      <c r="I572" s="8"/>
      <c r="J572" s="8"/>
      <c r="K572" s="8"/>
      <c r="L572" s="528"/>
      <c r="M572" s="528"/>
      <c r="N572" s="448"/>
      <c r="O572" s="448"/>
    </row>
    <row r="573" spans="1:15" x14ac:dyDescent="0.2">
      <c r="A573" s="8"/>
      <c r="B573" s="8"/>
      <c r="C573" s="8"/>
      <c r="D573" s="8"/>
      <c r="E573" s="8"/>
      <c r="F573" s="8"/>
      <c r="G573" s="8"/>
      <c r="H573" s="8"/>
      <c r="I573" s="8"/>
      <c r="J573" s="8"/>
      <c r="K573" s="8"/>
      <c r="L573" s="528"/>
      <c r="M573" s="528"/>
      <c r="N573" s="448"/>
      <c r="O573" s="448"/>
    </row>
    <row r="574" spans="1:15" x14ac:dyDescent="0.2">
      <c r="A574" s="8"/>
      <c r="B574" s="8"/>
      <c r="C574" s="8"/>
      <c r="D574" s="8"/>
      <c r="E574" s="8"/>
      <c r="F574" s="8"/>
      <c r="G574" s="8"/>
      <c r="H574" s="8"/>
      <c r="I574" s="8"/>
      <c r="J574" s="8"/>
      <c r="K574" s="8"/>
      <c r="L574" s="528"/>
      <c r="M574" s="528"/>
      <c r="N574" s="448"/>
      <c r="O574" s="448"/>
    </row>
    <row r="575" spans="1:15" x14ac:dyDescent="0.2">
      <c r="A575" s="8"/>
      <c r="B575" s="8"/>
      <c r="C575" s="8"/>
      <c r="D575" s="8"/>
      <c r="E575" s="8"/>
      <c r="F575" s="8"/>
      <c r="G575" s="8"/>
      <c r="H575" s="8"/>
      <c r="I575" s="8"/>
      <c r="J575" s="8"/>
      <c r="K575" s="8"/>
      <c r="L575" s="528"/>
      <c r="M575" s="528"/>
      <c r="N575" s="448"/>
      <c r="O575" s="448"/>
    </row>
    <row r="576" spans="1:15" x14ac:dyDescent="0.2">
      <c r="A576" s="8"/>
      <c r="B576" s="8"/>
      <c r="C576" s="8"/>
      <c r="D576" s="8"/>
      <c r="E576" s="8"/>
      <c r="F576" s="8"/>
      <c r="G576" s="8"/>
      <c r="H576" s="8"/>
      <c r="I576" s="8"/>
      <c r="J576" s="8"/>
      <c r="K576" s="8"/>
      <c r="L576" s="528"/>
      <c r="M576" s="528"/>
      <c r="N576" s="448"/>
      <c r="O576" s="448"/>
    </row>
    <row r="577" spans="1:15" x14ac:dyDescent="0.2">
      <c r="A577" s="8"/>
      <c r="B577" s="8"/>
      <c r="C577" s="8"/>
      <c r="D577" s="8"/>
      <c r="E577" s="8"/>
      <c r="F577" s="8"/>
      <c r="G577" s="8"/>
      <c r="H577" s="8"/>
      <c r="I577" s="8"/>
      <c r="J577" s="8"/>
      <c r="K577" s="8"/>
      <c r="L577" s="528"/>
      <c r="M577" s="528"/>
      <c r="N577" s="448"/>
      <c r="O577" s="448"/>
    </row>
    <row r="578" spans="1:15" x14ac:dyDescent="0.2">
      <c r="A578" s="8"/>
      <c r="B578" s="8"/>
      <c r="C578" s="8"/>
      <c r="D578" s="8"/>
      <c r="E578" s="8"/>
      <c r="F578" s="8"/>
      <c r="G578" s="8"/>
      <c r="H578" s="8"/>
      <c r="I578" s="8"/>
      <c r="J578" s="8"/>
      <c r="K578" s="8"/>
      <c r="L578" s="528"/>
      <c r="M578" s="528"/>
      <c r="N578" s="448"/>
      <c r="O578" s="448"/>
    </row>
    <row r="579" spans="1:15" x14ac:dyDescent="0.2">
      <c r="A579" s="8"/>
      <c r="B579" s="8"/>
      <c r="C579" s="8"/>
      <c r="D579" s="8"/>
      <c r="E579" s="8"/>
      <c r="F579" s="8"/>
      <c r="G579" s="8"/>
      <c r="H579" s="8"/>
      <c r="I579" s="8"/>
      <c r="J579" s="8"/>
      <c r="K579" s="8"/>
      <c r="L579" s="528"/>
      <c r="M579" s="528"/>
      <c r="N579" s="448"/>
      <c r="O579" s="448"/>
    </row>
    <row r="580" spans="1:15" x14ac:dyDescent="0.2">
      <c r="A580" s="8"/>
      <c r="B580" s="8"/>
      <c r="C580" s="8"/>
      <c r="D580" s="8"/>
      <c r="E580" s="8"/>
      <c r="F580" s="8"/>
      <c r="G580" s="8"/>
      <c r="H580" s="8"/>
      <c r="I580" s="8"/>
      <c r="J580" s="8"/>
      <c r="K580" s="8"/>
      <c r="L580" s="528"/>
      <c r="M580" s="528"/>
      <c r="N580" s="448"/>
      <c r="O580" s="448"/>
    </row>
    <row r="581" spans="1:15" x14ac:dyDescent="0.2">
      <c r="A581" s="8"/>
      <c r="B581" s="8"/>
      <c r="C581" s="8"/>
      <c r="D581" s="8"/>
      <c r="E581" s="8"/>
      <c r="F581" s="8"/>
      <c r="G581" s="8"/>
      <c r="H581" s="8"/>
      <c r="I581" s="8"/>
      <c r="J581" s="8"/>
      <c r="K581" s="8"/>
      <c r="L581" s="528"/>
      <c r="M581" s="528"/>
      <c r="N581" s="448"/>
      <c r="O581" s="448"/>
    </row>
    <row r="582" spans="1:15" x14ac:dyDescent="0.2">
      <c r="A582" s="8"/>
      <c r="B582" s="8"/>
      <c r="C582" s="8"/>
      <c r="D582" s="8"/>
      <c r="E582" s="8"/>
      <c r="F582" s="8"/>
      <c r="G582" s="8"/>
      <c r="H582" s="8"/>
      <c r="I582" s="8"/>
      <c r="J582" s="8"/>
      <c r="K582" s="8"/>
      <c r="L582" s="528"/>
      <c r="M582" s="528"/>
      <c r="N582" s="448"/>
      <c r="O582" s="448"/>
    </row>
    <row r="583" spans="1:15" x14ac:dyDescent="0.2">
      <c r="A583" s="8"/>
      <c r="B583" s="8"/>
      <c r="C583" s="8"/>
      <c r="D583" s="8"/>
      <c r="E583" s="8"/>
      <c r="F583" s="8"/>
      <c r="G583" s="8"/>
      <c r="H583" s="8"/>
      <c r="I583" s="8"/>
      <c r="J583" s="8"/>
      <c r="K583" s="8"/>
      <c r="L583" s="528"/>
      <c r="M583" s="528"/>
      <c r="N583" s="448"/>
      <c r="O583" s="448"/>
    </row>
    <row r="584" spans="1:15" x14ac:dyDescent="0.2">
      <c r="A584" s="8"/>
      <c r="B584" s="8"/>
      <c r="C584" s="8"/>
      <c r="D584" s="8"/>
      <c r="E584" s="8"/>
      <c r="F584" s="8"/>
      <c r="G584" s="8"/>
      <c r="H584" s="8"/>
      <c r="I584" s="8"/>
      <c r="J584" s="8"/>
      <c r="K584" s="8"/>
      <c r="L584" s="528"/>
      <c r="M584" s="528"/>
      <c r="N584" s="448"/>
      <c r="O584" s="448"/>
    </row>
    <row r="585" spans="1:15" x14ac:dyDescent="0.2">
      <c r="A585" s="8"/>
      <c r="B585" s="8"/>
      <c r="C585" s="8"/>
      <c r="D585" s="8"/>
      <c r="E585" s="8"/>
      <c r="F585" s="8"/>
      <c r="G585" s="8"/>
      <c r="H585" s="8"/>
      <c r="I585" s="8"/>
      <c r="J585" s="8"/>
      <c r="K585" s="8"/>
      <c r="L585" s="528"/>
      <c r="M585" s="528"/>
      <c r="N585" s="448"/>
      <c r="O585" s="448"/>
    </row>
    <row r="586" spans="1:15" x14ac:dyDescent="0.2">
      <c r="A586" s="8"/>
      <c r="B586" s="8"/>
      <c r="C586" s="8"/>
      <c r="D586" s="8"/>
      <c r="E586" s="8"/>
      <c r="F586" s="8"/>
      <c r="G586" s="8"/>
      <c r="H586" s="8"/>
      <c r="I586" s="8"/>
      <c r="J586" s="8"/>
      <c r="K586" s="8"/>
      <c r="L586" s="528"/>
      <c r="M586" s="528"/>
      <c r="N586" s="448"/>
      <c r="O586" s="448"/>
    </row>
    <row r="587" spans="1:15" x14ac:dyDescent="0.2">
      <c r="A587" s="8"/>
      <c r="B587" s="8"/>
      <c r="C587" s="8"/>
      <c r="D587" s="8"/>
      <c r="E587" s="8"/>
      <c r="F587" s="8"/>
      <c r="G587" s="8"/>
      <c r="H587" s="8"/>
      <c r="I587" s="8"/>
      <c r="J587" s="8"/>
      <c r="K587" s="8"/>
      <c r="L587" s="528"/>
      <c r="M587" s="528"/>
      <c r="N587" s="448"/>
      <c r="O587" s="448"/>
    </row>
    <row r="588" spans="1:15" x14ac:dyDescent="0.2">
      <c r="A588" s="8"/>
      <c r="B588" s="8"/>
      <c r="C588" s="8"/>
      <c r="D588" s="8"/>
      <c r="E588" s="8"/>
      <c r="F588" s="8"/>
      <c r="G588" s="8"/>
      <c r="H588" s="8"/>
      <c r="I588" s="8"/>
      <c r="J588" s="8"/>
      <c r="K588" s="8"/>
      <c r="L588" s="528"/>
      <c r="M588" s="528"/>
      <c r="N588" s="448"/>
      <c r="O588" s="448"/>
    </row>
    <row r="589" spans="1:15" x14ac:dyDescent="0.2">
      <c r="A589" s="8"/>
      <c r="B589" s="8"/>
      <c r="C589" s="8"/>
      <c r="D589" s="8"/>
      <c r="E589" s="8"/>
      <c r="F589" s="8"/>
      <c r="G589" s="8"/>
      <c r="H589" s="8"/>
      <c r="I589" s="8"/>
      <c r="J589" s="8"/>
      <c r="K589" s="8"/>
      <c r="L589" s="528"/>
      <c r="M589" s="528"/>
      <c r="N589" s="448"/>
      <c r="O589" s="448"/>
    </row>
    <row r="590" spans="1:15" x14ac:dyDescent="0.2">
      <c r="A590" s="8"/>
      <c r="B590" s="8"/>
      <c r="C590" s="8"/>
      <c r="D590" s="8"/>
      <c r="E590" s="8"/>
      <c r="F590" s="8"/>
      <c r="G590" s="8"/>
      <c r="H590" s="8"/>
      <c r="I590" s="8"/>
      <c r="J590" s="8"/>
      <c r="K590" s="8"/>
      <c r="L590" s="528"/>
      <c r="M590" s="528"/>
      <c r="N590" s="448"/>
      <c r="O590" s="448"/>
    </row>
    <row r="591" spans="1:15" x14ac:dyDescent="0.2">
      <c r="A591" s="8"/>
      <c r="B591" s="8"/>
      <c r="C591" s="8"/>
      <c r="D591" s="8"/>
      <c r="E591" s="8"/>
      <c r="F591" s="8"/>
      <c r="G591" s="8"/>
      <c r="H591" s="8"/>
      <c r="I591" s="8"/>
      <c r="J591" s="8"/>
      <c r="K591" s="8"/>
      <c r="L591" s="528"/>
      <c r="M591" s="528"/>
      <c r="N591" s="448"/>
      <c r="O591" s="448"/>
    </row>
    <row r="592" spans="1:15" x14ac:dyDescent="0.2">
      <c r="A592" s="8"/>
      <c r="B592" s="8"/>
      <c r="C592" s="8"/>
      <c r="D592" s="8"/>
      <c r="E592" s="8"/>
      <c r="F592" s="8"/>
      <c r="G592" s="8"/>
      <c r="H592" s="8"/>
      <c r="I592" s="8"/>
      <c r="J592" s="8"/>
      <c r="K592" s="8"/>
      <c r="L592" s="528"/>
      <c r="M592" s="528"/>
      <c r="N592" s="448"/>
      <c r="O592" s="448"/>
    </row>
    <row r="593" spans="1:15" x14ac:dyDescent="0.2">
      <c r="A593" s="8"/>
      <c r="B593" s="8"/>
      <c r="C593" s="8"/>
      <c r="D593" s="8"/>
      <c r="E593" s="8"/>
      <c r="F593" s="8"/>
      <c r="G593" s="8"/>
      <c r="H593" s="8"/>
      <c r="I593" s="8"/>
      <c r="J593" s="8"/>
      <c r="K593" s="8"/>
      <c r="L593" s="528"/>
      <c r="M593" s="528"/>
      <c r="N593" s="448"/>
      <c r="O593" s="448"/>
    </row>
    <row r="594" spans="1:15" x14ac:dyDescent="0.2">
      <c r="A594" s="8"/>
      <c r="B594" s="8"/>
      <c r="C594" s="8"/>
      <c r="D594" s="8"/>
      <c r="E594" s="8"/>
      <c r="F594" s="8"/>
      <c r="G594" s="8"/>
      <c r="H594" s="8"/>
      <c r="I594" s="8"/>
      <c r="J594" s="8"/>
      <c r="K594" s="8"/>
      <c r="L594" s="528"/>
      <c r="M594" s="528"/>
      <c r="N594" s="448"/>
      <c r="O594" s="448"/>
    </row>
    <row r="595" spans="1:15" x14ac:dyDescent="0.2">
      <c r="A595" s="8"/>
      <c r="B595" s="8"/>
      <c r="C595" s="8"/>
      <c r="D595" s="8"/>
      <c r="E595" s="8"/>
      <c r="F595" s="8"/>
      <c r="G595" s="8"/>
      <c r="H595" s="8"/>
      <c r="I595" s="8"/>
      <c r="J595" s="8"/>
      <c r="K595" s="8"/>
      <c r="L595" s="528"/>
      <c r="M595" s="528"/>
      <c r="N595" s="448"/>
      <c r="O595" s="448"/>
    </row>
    <row r="596" spans="1:15" x14ac:dyDescent="0.2">
      <c r="A596" s="8"/>
      <c r="B596" s="8"/>
      <c r="C596" s="8"/>
      <c r="D596" s="8"/>
      <c r="E596" s="8"/>
      <c r="F596" s="8"/>
      <c r="G596" s="8"/>
      <c r="H596" s="8"/>
      <c r="I596" s="8"/>
      <c r="J596" s="8"/>
      <c r="K596" s="8"/>
      <c r="L596" s="528"/>
      <c r="M596" s="528"/>
      <c r="N596" s="448"/>
      <c r="O596" s="448"/>
    </row>
    <row r="597" spans="1:15" x14ac:dyDescent="0.2">
      <c r="A597" s="8"/>
      <c r="B597" s="8"/>
      <c r="C597" s="8"/>
      <c r="D597" s="8"/>
      <c r="E597" s="8"/>
      <c r="F597" s="8"/>
      <c r="G597" s="8"/>
      <c r="H597" s="8"/>
      <c r="I597" s="8"/>
      <c r="J597" s="8"/>
      <c r="K597" s="8"/>
      <c r="L597" s="528"/>
      <c r="M597" s="528"/>
      <c r="N597" s="448"/>
      <c r="O597" s="448"/>
    </row>
    <row r="598" spans="1:15" x14ac:dyDescent="0.2">
      <c r="A598" s="8"/>
      <c r="B598" s="8"/>
      <c r="C598" s="8"/>
      <c r="D598" s="8"/>
      <c r="E598" s="8"/>
      <c r="F598" s="8"/>
      <c r="G598" s="8"/>
      <c r="H598" s="8"/>
      <c r="I598" s="8"/>
      <c r="J598" s="8"/>
      <c r="K598" s="8"/>
      <c r="L598" s="528"/>
      <c r="M598" s="528"/>
      <c r="N598" s="448"/>
      <c r="O598" s="448"/>
    </row>
    <row r="599" spans="1:15" x14ac:dyDescent="0.2">
      <c r="A599" s="8"/>
      <c r="B599" s="8"/>
      <c r="C599" s="8"/>
      <c r="D599" s="8"/>
      <c r="E599" s="8"/>
      <c r="F599" s="8"/>
      <c r="G599" s="8"/>
      <c r="H599" s="8"/>
      <c r="I599" s="8"/>
      <c r="J599" s="8"/>
      <c r="K599" s="8"/>
      <c r="L599" s="528"/>
      <c r="M599" s="528"/>
      <c r="N599" s="448"/>
      <c r="O599" s="448"/>
    </row>
    <row r="600" spans="1:15" x14ac:dyDescent="0.2">
      <c r="A600" s="8"/>
      <c r="B600" s="8"/>
      <c r="C600" s="8"/>
      <c r="D600" s="8"/>
      <c r="E600" s="8"/>
      <c r="F600" s="8"/>
      <c r="G600" s="8"/>
      <c r="H600" s="8"/>
      <c r="I600" s="8"/>
      <c r="J600" s="8"/>
      <c r="K600" s="8"/>
      <c r="L600" s="528"/>
      <c r="M600" s="528"/>
      <c r="N600" s="448"/>
      <c r="O600" s="448"/>
    </row>
    <row r="601" spans="1:15" x14ac:dyDescent="0.2">
      <c r="A601" s="8"/>
      <c r="B601" s="8"/>
      <c r="C601" s="8"/>
      <c r="D601" s="8"/>
      <c r="E601" s="8"/>
      <c r="F601" s="8"/>
      <c r="G601" s="8"/>
      <c r="H601" s="8"/>
      <c r="I601" s="8"/>
      <c r="J601" s="8"/>
      <c r="K601" s="8"/>
      <c r="L601" s="528"/>
      <c r="M601" s="528"/>
      <c r="N601" s="448"/>
      <c r="O601" s="448"/>
    </row>
    <row r="602" spans="1:15" x14ac:dyDescent="0.2">
      <c r="A602" s="8"/>
      <c r="B602" s="8"/>
      <c r="C602" s="8"/>
      <c r="D602" s="8"/>
      <c r="E602" s="8"/>
      <c r="F602" s="8"/>
      <c r="G602" s="8"/>
      <c r="H602" s="8"/>
      <c r="I602" s="8"/>
      <c r="J602" s="8"/>
      <c r="K602" s="8"/>
      <c r="L602" s="528"/>
      <c r="M602" s="528"/>
      <c r="N602" s="448"/>
      <c r="O602" s="448"/>
    </row>
    <row r="603" spans="1:15" x14ac:dyDescent="0.2">
      <c r="A603" s="8"/>
      <c r="B603" s="8"/>
      <c r="C603" s="8"/>
      <c r="D603" s="8"/>
      <c r="E603" s="8"/>
      <c r="F603" s="8"/>
      <c r="G603" s="8"/>
      <c r="H603" s="8"/>
      <c r="I603" s="8"/>
      <c r="J603" s="8"/>
      <c r="K603" s="8"/>
      <c r="L603" s="528"/>
      <c r="M603" s="528"/>
      <c r="N603" s="448"/>
      <c r="O603" s="448"/>
    </row>
    <row r="604" spans="1:15" x14ac:dyDescent="0.2">
      <c r="A604" s="8"/>
      <c r="B604" s="8"/>
      <c r="C604" s="8"/>
      <c r="D604" s="8"/>
      <c r="E604" s="8"/>
      <c r="F604" s="8"/>
      <c r="G604" s="8"/>
      <c r="H604" s="8"/>
      <c r="I604" s="8"/>
      <c r="J604" s="8"/>
      <c r="K604" s="8"/>
      <c r="L604" s="528"/>
      <c r="M604" s="528"/>
      <c r="N604" s="448"/>
      <c r="O604" s="448"/>
    </row>
    <row r="605" spans="1:15" x14ac:dyDescent="0.2">
      <c r="A605" s="8"/>
      <c r="B605" s="8"/>
      <c r="C605" s="8"/>
      <c r="D605" s="8"/>
      <c r="E605" s="8"/>
      <c r="F605" s="8"/>
      <c r="G605" s="8"/>
      <c r="H605" s="8"/>
      <c r="I605" s="8"/>
      <c r="J605" s="8"/>
      <c r="K605" s="8"/>
      <c r="L605" s="528"/>
      <c r="M605" s="528"/>
      <c r="N605" s="448"/>
      <c r="O605" s="448"/>
    </row>
    <row r="606" spans="1:15" x14ac:dyDescent="0.2">
      <c r="A606" s="8"/>
      <c r="B606" s="8"/>
      <c r="C606" s="8"/>
      <c r="D606" s="8"/>
      <c r="E606" s="8"/>
      <c r="F606" s="8"/>
      <c r="G606" s="8"/>
      <c r="H606" s="8"/>
      <c r="I606" s="8"/>
      <c r="J606" s="8"/>
      <c r="K606" s="8"/>
      <c r="L606" s="528"/>
      <c r="M606" s="528"/>
      <c r="N606" s="448"/>
      <c r="O606" s="448"/>
    </row>
    <row r="607" spans="1:15" x14ac:dyDescent="0.2">
      <c r="A607" s="8"/>
      <c r="B607" s="8"/>
      <c r="C607" s="8"/>
      <c r="D607" s="8"/>
      <c r="E607" s="8"/>
      <c r="F607" s="8"/>
      <c r="G607" s="8"/>
      <c r="H607" s="8"/>
      <c r="I607" s="8"/>
      <c r="J607" s="8"/>
      <c r="K607" s="8"/>
      <c r="L607" s="528"/>
      <c r="M607" s="528"/>
      <c r="N607" s="448"/>
      <c r="O607" s="448"/>
    </row>
    <row r="608" spans="1:15" x14ac:dyDescent="0.2">
      <c r="A608" s="8"/>
      <c r="B608" s="8"/>
      <c r="C608" s="8"/>
      <c r="D608" s="8"/>
      <c r="E608" s="8"/>
      <c r="F608" s="8"/>
      <c r="G608" s="8"/>
      <c r="H608" s="8"/>
      <c r="I608" s="8"/>
      <c r="J608" s="8"/>
      <c r="K608" s="8"/>
      <c r="L608" s="528"/>
      <c r="M608" s="528"/>
      <c r="N608" s="448"/>
      <c r="O608" s="448"/>
    </row>
    <row r="609" spans="1:15" x14ac:dyDescent="0.2">
      <c r="A609" s="8"/>
      <c r="B609" s="8"/>
      <c r="C609" s="8"/>
      <c r="D609" s="8"/>
      <c r="E609" s="8"/>
      <c r="F609" s="8"/>
      <c r="G609" s="8"/>
      <c r="H609" s="8"/>
      <c r="I609" s="8"/>
      <c r="J609" s="8"/>
      <c r="K609" s="8"/>
      <c r="L609" s="528"/>
      <c r="M609" s="528"/>
      <c r="N609" s="448"/>
      <c r="O609" s="448"/>
    </row>
    <row r="610" spans="1:15" x14ac:dyDescent="0.2">
      <c r="A610" s="8"/>
      <c r="B610" s="8"/>
      <c r="C610" s="8"/>
      <c r="D610" s="8"/>
      <c r="E610" s="8"/>
      <c r="F610" s="8"/>
      <c r="G610" s="8"/>
      <c r="H610" s="8"/>
      <c r="I610" s="8"/>
      <c r="J610" s="8"/>
      <c r="K610" s="8"/>
      <c r="L610" s="528"/>
      <c r="M610" s="528"/>
      <c r="N610" s="448"/>
      <c r="O610" s="448"/>
    </row>
    <row r="611" spans="1:15" x14ac:dyDescent="0.2">
      <c r="A611" s="8"/>
      <c r="B611" s="8"/>
      <c r="C611" s="8"/>
      <c r="D611" s="8"/>
      <c r="E611" s="8"/>
      <c r="F611" s="8"/>
      <c r="G611" s="8"/>
      <c r="H611" s="8"/>
      <c r="I611" s="8"/>
      <c r="J611" s="8"/>
      <c r="K611" s="8"/>
      <c r="L611" s="528"/>
      <c r="M611" s="528"/>
      <c r="N611" s="448"/>
      <c r="O611" s="448"/>
    </row>
    <row r="612" spans="1:15" x14ac:dyDescent="0.2">
      <c r="A612" s="8"/>
      <c r="B612" s="8"/>
      <c r="C612" s="8"/>
      <c r="D612" s="8"/>
      <c r="E612" s="8"/>
      <c r="F612" s="8"/>
      <c r="G612" s="8"/>
      <c r="H612" s="8"/>
      <c r="I612" s="8"/>
      <c r="J612" s="8"/>
      <c r="K612" s="8"/>
      <c r="L612" s="528"/>
      <c r="M612" s="528"/>
      <c r="N612" s="448"/>
      <c r="O612" s="448"/>
    </row>
    <row r="613" spans="1:15" x14ac:dyDescent="0.2">
      <c r="A613" s="8"/>
      <c r="B613" s="8"/>
      <c r="C613" s="8"/>
      <c r="D613" s="8"/>
      <c r="E613" s="8"/>
      <c r="F613" s="8"/>
      <c r="G613" s="8"/>
      <c r="H613" s="8"/>
      <c r="I613" s="8"/>
      <c r="J613" s="8"/>
      <c r="K613" s="8"/>
      <c r="L613" s="528"/>
      <c r="M613" s="528"/>
      <c r="N613" s="448"/>
      <c r="O613" s="448"/>
    </row>
    <row r="614" spans="1:15" x14ac:dyDescent="0.2">
      <c r="A614" s="8"/>
      <c r="B614" s="8"/>
      <c r="C614" s="8"/>
      <c r="D614" s="8"/>
      <c r="E614" s="8"/>
      <c r="F614" s="8"/>
      <c r="G614" s="8"/>
      <c r="H614" s="8"/>
      <c r="I614" s="8"/>
      <c r="J614" s="8"/>
      <c r="K614" s="8"/>
      <c r="L614" s="528"/>
      <c r="M614" s="528"/>
      <c r="N614" s="448"/>
      <c r="O614" s="448"/>
    </row>
    <row r="615" spans="1:15" x14ac:dyDescent="0.2">
      <c r="A615" s="8"/>
      <c r="B615" s="8"/>
      <c r="C615" s="8"/>
      <c r="D615" s="8"/>
      <c r="E615" s="8"/>
      <c r="F615" s="8"/>
      <c r="G615" s="8"/>
      <c r="H615" s="8"/>
      <c r="I615" s="8"/>
      <c r="J615" s="8"/>
      <c r="K615" s="8"/>
      <c r="L615" s="528"/>
      <c r="M615" s="528"/>
      <c r="N615" s="448"/>
      <c r="O615" s="448"/>
    </row>
    <row r="616" spans="1:15" x14ac:dyDescent="0.2">
      <c r="A616" s="8"/>
      <c r="B616" s="8"/>
      <c r="C616" s="8"/>
      <c r="D616" s="8"/>
      <c r="E616" s="8"/>
      <c r="F616" s="8"/>
      <c r="G616" s="8"/>
      <c r="H616" s="8"/>
      <c r="I616" s="8"/>
      <c r="J616" s="8"/>
      <c r="K616" s="8"/>
      <c r="L616" s="528"/>
      <c r="M616" s="528"/>
      <c r="N616" s="448"/>
      <c r="O616" s="448"/>
    </row>
    <row r="617" spans="1:15" x14ac:dyDescent="0.2">
      <c r="A617" s="8"/>
      <c r="B617" s="8"/>
      <c r="C617" s="8"/>
      <c r="D617" s="8"/>
      <c r="E617" s="8"/>
      <c r="F617" s="8"/>
      <c r="G617" s="8"/>
      <c r="H617" s="8"/>
      <c r="I617" s="8"/>
      <c r="J617" s="8"/>
      <c r="K617" s="8"/>
      <c r="L617" s="528"/>
      <c r="M617" s="528"/>
      <c r="N617" s="448"/>
      <c r="O617" s="448"/>
    </row>
    <row r="618" spans="1:15" x14ac:dyDescent="0.2">
      <c r="A618" s="8"/>
      <c r="B618" s="8"/>
      <c r="C618" s="8"/>
      <c r="D618" s="8"/>
      <c r="E618" s="8"/>
      <c r="F618" s="8"/>
      <c r="G618" s="8"/>
      <c r="H618" s="8"/>
      <c r="I618" s="8"/>
      <c r="J618" s="8"/>
      <c r="K618" s="8"/>
      <c r="L618" s="528"/>
      <c r="M618" s="528"/>
      <c r="N618" s="448"/>
      <c r="O618" s="448"/>
    </row>
    <row r="619" spans="1:15" x14ac:dyDescent="0.2">
      <c r="A619" s="8"/>
      <c r="B619" s="8"/>
      <c r="C619" s="8"/>
      <c r="D619" s="8"/>
      <c r="E619" s="8"/>
      <c r="F619" s="8"/>
      <c r="G619" s="8"/>
      <c r="H619" s="8"/>
      <c r="I619" s="8"/>
      <c r="J619" s="8"/>
      <c r="K619" s="8"/>
      <c r="L619" s="528"/>
      <c r="M619" s="528"/>
      <c r="N619" s="448"/>
      <c r="O619" s="448"/>
    </row>
    <row r="620" spans="1:15" x14ac:dyDescent="0.2">
      <c r="A620" s="8"/>
      <c r="B620" s="8"/>
      <c r="C620" s="8"/>
      <c r="D620" s="8"/>
      <c r="E620" s="8"/>
      <c r="F620" s="8"/>
      <c r="G620" s="8"/>
      <c r="H620" s="8"/>
      <c r="I620" s="8"/>
      <c r="J620" s="8"/>
      <c r="K620" s="8"/>
      <c r="L620" s="528"/>
      <c r="M620" s="528"/>
      <c r="N620" s="448"/>
      <c r="O620" s="448"/>
    </row>
    <row r="621" spans="1:15" x14ac:dyDescent="0.2">
      <c r="A621" s="8"/>
      <c r="B621" s="8"/>
      <c r="C621" s="8"/>
      <c r="D621" s="8"/>
      <c r="E621" s="8"/>
      <c r="F621" s="8"/>
      <c r="G621" s="8"/>
      <c r="H621" s="8"/>
      <c r="I621" s="8"/>
      <c r="J621" s="8"/>
      <c r="K621" s="8"/>
      <c r="L621" s="528"/>
      <c r="M621" s="528"/>
      <c r="N621" s="448"/>
      <c r="O621" s="448"/>
    </row>
    <row r="622" spans="1:15" x14ac:dyDescent="0.2">
      <c r="A622" s="8"/>
      <c r="B622" s="8"/>
      <c r="C622" s="8"/>
      <c r="D622" s="8"/>
      <c r="E622" s="8"/>
      <c r="F622" s="8"/>
      <c r="G622" s="8"/>
      <c r="H622" s="8"/>
      <c r="I622" s="8"/>
      <c r="J622" s="8"/>
      <c r="K622" s="8"/>
      <c r="L622" s="528"/>
      <c r="M622" s="528"/>
      <c r="N622" s="448"/>
      <c r="O622" s="448"/>
    </row>
    <row r="623" spans="1:15" x14ac:dyDescent="0.2">
      <c r="A623" s="8"/>
      <c r="B623" s="8"/>
      <c r="C623" s="8"/>
      <c r="D623" s="8"/>
      <c r="E623" s="8"/>
      <c r="F623" s="8"/>
      <c r="G623" s="8"/>
      <c r="H623" s="8"/>
      <c r="I623" s="8"/>
      <c r="J623" s="8"/>
      <c r="K623" s="8"/>
      <c r="L623" s="528"/>
      <c r="M623" s="528"/>
      <c r="N623" s="448"/>
      <c r="O623" s="448"/>
    </row>
    <row r="624" spans="1:15" x14ac:dyDescent="0.2">
      <c r="A624" s="8"/>
      <c r="B624" s="8"/>
      <c r="C624" s="8"/>
      <c r="D624" s="8"/>
      <c r="E624" s="8"/>
      <c r="F624" s="8"/>
      <c r="G624" s="8"/>
      <c r="H624" s="8"/>
      <c r="I624" s="8"/>
      <c r="J624" s="8"/>
      <c r="K624" s="8"/>
      <c r="L624" s="528"/>
      <c r="M624" s="528"/>
      <c r="N624" s="448"/>
      <c r="O624" s="448"/>
    </row>
    <row r="625" spans="1:15" x14ac:dyDescent="0.2">
      <c r="A625" s="8"/>
      <c r="B625" s="8"/>
      <c r="C625" s="8"/>
      <c r="D625" s="8"/>
      <c r="E625" s="8"/>
      <c r="F625" s="8"/>
      <c r="G625" s="8"/>
      <c r="H625" s="8"/>
      <c r="I625" s="8"/>
      <c r="J625" s="8"/>
      <c r="K625" s="8"/>
      <c r="L625" s="528"/>
      <c r="M625" s="528"/>
      <c r="N625" s="448"/>
      <c r="O625" s="448"/>
    </row>
    <row r="626" spans="1:15" x14ac:dyDescent="0.2">
      <c r="A626" s="8"/>
      <c r="B626" s="8"/>
      <c r="C626" s="8"/>
      <c r="D626" s="8"/>
      <c r="E626" s="8"/>
      <c r="F626" s="8"/>
      <c r="G626" s="8"/>
      <c r="H626" s="8"/>
      <c r="I626" s="8"/>
      <c r="J626" s="8"/>
      <c r="K626" s="8"/>
      <c r="L626" s="528"/>
      <c r="M626" s="528"/>
      <c r="N626" s="448"/>
      <c r="O626" s="448"/>
    </row>
    <row r="627" spans="1:15" x14ac:dyDescent="0.2">
      <c r="A627" s="8"/>
      <c r="B627" s="8"/>
      <c r="C627" s="8"/>
      <c r="D627" s="8"/>
      <c r="E627" s="8"/>
      <c r="F627" s="8"/>
      <c r="G627" s="8"/>
      <c r="H627" s="8"/>
      <c r="I627" s="8"/>
      <c r="J627" s="8"/>
      <c r="K627" s="8"/>
      <c r="L627" s="528"/>
      <c r="M627" s="528"/>
      <c r="N627" s="448"/>
      <c r="O627" s="448"/>
    </row>
    <row r="628" spans="1:15" x14ac:dyDescent="0.2">
      <c r="A628" s="8"/>
      <c r="B628" s="8"/>
      <c r="C628" s="8"/>
      <c r="D628" s="8"/>
      <c r="E628" s="8"/>
      <c r="F628" s="8"/>
      <c r="G628" s="8"/>
      <c r="H628" s="8"/>
      <c r="I628" s="8"/>
      <c r="J628" s="8"/>
      <c r="K628" s="8"/>
      <c r="L628" s="528"/>
      <c r="M628" s="528"/>
      <c r="N628" s="448"/>
      <c r="O628" s="448"/>
    </row>
    <row r="629" spans="1:15" x14ac:dyDescent="0.2">
      <c r="A629" s="8"/>
      <c r="B629" s="8"/>
      <c r="C629" s="8"/>
      <c r="D629" s="8"/>
      <c r="E629" s="8"/>
      <c r="F629" s="8"/>
      <c r="G629" s="8"/>
      <c r="H629" s="8"/>
      <c r="I629" s="8"/>
      <c r="J629" s="8"/>
      <c r="K629" s="8"/>
      <c r="L629" s="528"/>
      <c r="M629" s="528"/>
      <c r="N629" s="448"/>
      <c r="O629" s="448"/>
    </row>
    <row r="630" spans="1:15" x14ac:dyDescent="0.2">
      <c r="A630" s="8"/>
      <c r="B630" s="8"/>
      <c r="C630" s="8"/>
      <c r="D630" s="8"/>
      <c r="E630" s="8"/>
      <c r="F630" s="8"/>
      <c r="G630" s="8"/>
      <c r="H630" s="8"/>
      <c r="I630" s="8"/>
      <c r="J630" s="8"/>
      <c r="K630" s="8"/>
      <c r="L630" s="528"/>
      <c r="M630" s="528"/>
      <c r="N630" s="448"/>
      <c r="O630" s="448"/>
    </row>
    <row r="631" spans="1:15" x14ac:dyDescent="0.2">
      <c r="A631" s="8"/>
      <c r="B631" s="8"/>
      <c r="C631" s="8"/>
      <c r="D631" s="8"/>
      <c r="E631" s="8"/>
      <c r="F631" s="8"/>
      <c r="G631" s="8"/>
      <c r="H631" s="8"/>
      <c r="I631" s="8"/>
      <c r="J631" s="8"/>
      <c r="K631" s="8"/>
      <c r="L631" s="528"/>
      <c r="M631" s="528"/>
      <c r="N631" s="448"/>
      <c r="O631" s="448"/>
    </row>
    <row r="632" spans="1:15" x14ac:dyDescent="0.2">
      <c r="A632" s="8"/>
      <c r="B632" s="8"/>
      <c r="C632" s="8"/>
      <c r="D632" s="8"/>
      <c r="E632" s="8"/>
      <c r="F632" s="8"/>
      <c r="G632" s="8"/>
      <c r="H632" s="8"/>
      <c r="I632" s="8"/>
      <c r="J632" s="8"/>
      <c r="K632" s="8"/>
      <c r="L632" s="528"/>
      <c r="M632" s="528"/>
      <c r="N632" s="448"/>
      <c r="O632" s="448"/>
    </row>
    <row r="633" spans="1:15" x14ac:dyDescent="0.2">
      <c r="A633" s="8"/>
      <c r="B633" s="8"/>
      <c r="C633" s="8"/>
      <c r="D633" s="8"/>
      <c r="E633" s="8"/>
      <c r="F633" s="8"/>
      <c r="G633" s="8"/>
      <c r="H633" s="8"/>
      <c r="I633" s="8"/>
      <c r="J633" s="8"/>
      <c r="K633" s="8"/>
      <c r="L633" s="528"/>
      <c r="M633" s="528"/>
      <c r="N633" s="448"/>
      <c r="O633" s="448"/>
    </row>
    <row r="634" spans="1:15" x14ac:dyDescent="0.2">
      <c r="A634" s="8"/>
      <c r="B634" s="8"/>
      <c r="C634" s="8"/>
      <c r="D634" s="8"/>
      <c r="E634" s="8"/>
      <c r="F634" s="8"/>
      <c r="G634" s="8"/>
      <c r="H634" s="8"/>
      <c r="I634" s="8"/>
      <c r="J634" s="8"/>
      <c r="K634" s="8"/>
      <c r="L634" s="528"/>
      <c r="M634" s="528"/>
      <c r="N634" s="448"/>
      <c r="O634" s="448"/>
    </row>
    <row r="635" spans="1:15" x14ac:dyDescent="0.2">
      <c r="A635" s="8"/>
      <c r="B635" s="8"/>
      <c r="C635" s="8"/>
      <c r="D635" s="8"/>
      <c r="E635" s="8"/>
      <c r="F635" s="8"/>
      <c r="G635" s="8"/>
      <c r="H635" s="8"/>
      <c r="I635" s="8"/>
      <c r="J635" s="8"/>
      <c r="K635" s="8"/>
      <c r="L635" s="528"/>
      <c r="M635" s="528"/>
      <c r="N635" s="448"/>
      <c r="O635" s="448"/>
    </row>
    <row r="636" spans="1:15" x14ac:dyDescent="0.2">
      <c r="A636" s="8"/>
      <c r="B636" s="8"/>
      <c r="C636" s="8"/>
      <c r="D636" s="8"/>
      <c r="E636" s="8"/>
      <c r="F636" s="8"/>
      <c r="G636" s="8"/>
      <c r="H636" s="8"/>
      <c r="I636" s="8"/>
      <c r="J636" s="8"/>
      <c r="K636" s="8"/>
      <c r="L636" s="528"/>
      <c r="M636" s="528"/>
      <c r="N636" s="448"/>
      <c r="O636" s="448"/>
    </row>
    <row r="637" spans="1:15" x14ac:dyDescent="0.2">
      <c r="A637" s="8"/>
      <c r="B637" s="8"/>
      <c r="C637" s="8"/>
      <c r="D637" s="8"/>
      <c r="E637" s="8"/>
      <c r="F637" s="8"/>
      <c r="G637" s="8"/>
      <c r="H637" s="8"/>
      <c r="I637" s="8"/>
      <c r="J637" s="8"/>
      <c r="K637" s="8"/>
      <c r="L637" s="528"/>
      <c r="M637" s="528"/>
      <c r="N637" s="448"/>
      <c r="O637" s="448"/>
    </row>
    <row r="638" spans="1:15" x14ac:dyDescent="0.2">
      <c r="A638" s="8"/>
      <c r="B638" s="8"/>
      <c r="C638" s="8"/>
      <c r="D638" s="8"/>
      <c r="E638" s="8"/>
      <c r="F638" s="8"/>
      <c r="G638" s="8"/>
      <c r="H638" s="8"/>
      <c r="I638" s="8"/>
      <c r="J638" s="8"/>
      <c r="K638" s="8"/>
      <c r="L638" s="528"/>
      <c r="M638" s="528"/>
      <c r="N638" s="448"/>
      <c r="O638" s="448"/>
    </row>
    <row r="639" spans="1:15" x14ac:dyDescent="0.2">
      <c r="A639" s="8"/>
      <c r="B639" s="8"/>
      <c r="C639" s="8"/>
      <c r="D639" s="8"/>
      <c r="E639" s="8"/>
      <c r="F639" s="8"/>
      <c r="G639" s="8"/>
      <c r="H639" s="8"/>
      <c r="I639" s="8"/>
      <c r="J639" s="8"/>
      <c r="K639" s="8"/>
      <c r="L639" s="528"/>
      <c r="M639" s="528"/>
      <c r="N639" s="448"/>
      <c r="O639" s="448"/>
    </row>
    <row r="640" spans="1:15" x14ac:dyDescent="0.2">
      <c r="A640" s="8"/>
      <c r="B640" s="8"/>
      <c r="C640" s="8"/>
      <c r="D640" s="8"/>
      <c r="E640" s="8"/>
      <c r="F640" s="8"/>
      <c r="G640" s="8"/>
      <c r="H640" s="8"/>
      <c r="I640" s="8"/>
      <c r="J640" s="8"/>
      <c r="K640" s="8"/>
      <c r="L640" s="528"/>
      <c r="M640" s="528"/>
      <c r="N640" s="448"/>
      <c r="O640" s="448"/>
    </row>
    <row r="641" spans="1:15" x14ac:dyDescent="0.2">
      <c r="A641" s="8"/>
      <c r="B641" s="8"/>
      <c r="C641" s="8"/>
      <c r="D641" s="8"/>
      <c r="E641" s="8"/>
      <c r="F641" s="8"/>
      <c r="G641" s="8"/>
      <c r="H641" s="8"/>
      <c r="I641" s="8"/>
      <c r="J641" s="8"/>
      <c r="K641" s="8"/>
      <c r="L641" s="528"/>
      <c r="M641" s="528"/>
      <c r="N641" s="448"/>
      <c r="O641" s="448"/>
    </row>
    <row r="642" spans="1:15" x14ac:dyDescent="0.2">
      <c r="A642" s="8"/>
      <c r="B642" s="8"/>
      <c r="C642" s="8"/>
      <c r="D642" s="8"/>
      <c r="E642" s="8"/>
      <c r="F642" s="8"/>
      <c r="G642" s="8"/>
      <c r="H642" s="8"/>
      <c r="I642" s="8"/>
      <c r="J642" s="8"/>
      <c r="K642" s="8"/>
      <c r="L642" s="528"/>
      <c r="M642" s="528"/>
      <c r="N642" s="448"/>
      <c r="O642" s="448"/>
    </row>
    <row r="643" spans="1:15" x14ac:dyDescent="0.2">
      <c r="A643" s="8"/>
      <c r="B643" s="8"/>
      <c r="C643" s="8"/>
      <c r="D643" s="8"/>
      <c r="E643" s="8"/>
      <c r="F643" s="8"/>
      <c r="G643" s="8"/>
      <c r="H643" s="8"/>
      <c r="I643" s="8"/>
      <c r="J643" s="8"/>
      <c r="K643" s="8"/>
      <c r="L643" s="528"/>
      <c r="M643" s="528"/>
      <c r="N643" s="448"/>
      <c r="O643" s="448"/>
    </row>
    <row r="644" spans="1:15" x14ac:dyDescent="0.2">
      <c r="A644" s="8"/>
      <c r="B644" s="8"/>
      <c r="C644" s="8"/>
      <c r="D644" s="8"/>
      <c r="E644" s="8"/>
      <c r="F644" s="8"/>
      <c r="G644" s="8"/>
      <c r="H644" s="8"/>
      <c r="I644" s="8"/>
      <c r="J644" s="8"/>
      <c r="K644" s="8"/>
      <c r="L644" s="528"/>
      <c r="M644" s="528"/>
      <c r="N644" s="448"/>
      <c r="O644" s="448"/>
    </row>
    <row r="645" spans="1:15" x14ac:dyDescent="0.2">
      <c r="A645" s="8"/>
      <c r="B645" s="8"/>
      <c r="C645" s="8"/>
      <c r="D645" s="8"/>
      <c r="E645" s="8"/>
      <c r="F645" s="8"/>
      <c r="G645" s="8"/>
      <c r="H645" s="8"/>
      <c r="I645" s="8"/>
      <c r="J645" s="8"/>
      <c r="K645" s="8"/>
      <c r="L645" s="528"/>
      <c r="M645" s="528"/>
      <c r="N645" s="448"/>
      <c r="O645" s="448"/>
    </row>
    <row r="646" spans="1:15" x14ac:dyDescent="0.2">
      <c r="A646" s="8"/>
      <c r="B646" s="8"/>
      <c r="C646" s="8"/>
      <c r="D646" s="8"/>
      <c r="E646" s="8"/>
      <c r="F646" s="8"/>
      <c r="G646" s="8"/>
      <c r="H646" s="8"/>
      <c r="I646" s="8"/>
      <c r="J646" s="8"/>
      <c r="K646" s="8"/>
      <c r="L646" s="528"/>
      <c r="M646" s="528"/>
      <c r="N646" s="448"/>
      <c r="O646" s="448"/>
    </row>
    <row r="647" spans="1:15" x14ac:dyDescent="0.2">
      <c r="A647" s="8"/>
      <c r="B647" s="8"/>
      <c r="C647" s="8"/>
      <c r="D647" s="8"/>
      <c r="E647" s="8"/>
      <c r="F647" s="8"/>
      <c r="G647" s="8"/>
      <c r="H647" s="8"/>
      <c r="I647" s="8"/>
      <c r="J647" s="8"/>
      <c r="K647" s="8"/>
      <c r="L647" s="528"/>
      <c r="M647" s="528"/>
      <c r="N647" s="448"/>
      <c r="O647" s="448"/>
    </row>
    <row r="648" spans="1:15" x14ac:dyDescent="0.2">
      <c r="A648" s="8"/>
      <c r="B648" s="8"/>
      <c r="C648" s="8"/>
      <c r="D648" s="8"/>
      <c r="E648" s="8"/>
      <c r="F648" s="8"/>
      <c r="G648" s="8"/>
      <c r="H648" s="8"/>
      <c r="I648" s="8"/>
      <c r="J648" s="8"/>
      <c r="K648" s="8"/>
      <c r="L648" s="528"/>
      <c r="M648" s="528"/>
      <c r="N648" s="448"/>
      <c r="O648" s="448"/>
    </row>
    <row r="649" spans="1:15" x14ac:dyDescent="0.2">
      <c r="A649" s="8"/>
      <c r="B649" s="8"/>
      <c r="C649" s="8"/>
      <c r="D649" s="8"/>
      <c r="E649" s="8"/>
      <c r="F649" s="8"/>
      <c r="G649" s="8"/>
      <c r="H649" s="8"/>
      <c r="I649" s="8"/>
      <c r="J649" s="8"/>
      <c r="K649" s="8"/>
      <c r="L649" s="528"/>
      <c r="M649" s="528"/>
      <c r="N649" s="448"/>
      <c r="O649" s="448"/>
    </row>
    <row r="650" spans="1:15" x14ac:dyDescent="0.2">
      <c r="A650" s="8"/>
      <c r="B650" s="8"/>
      <c r="C650" s="8"/>
      <c r="D650" s="8"/>
      <c r="E650" s="8"/>
      <c r="F650" s="8"/>
      <c r="G650" s="8"/>
      <c r="H650" s="8"/>
      <c r="I650" s="8"/>
      <c r="J650" s="8"/>
      <c r="K650" s="8"/>
      <c r="L650" s="528"/>
      <c r="M650" s="528"/>
      <c r="N650" s="448"/>
      <c r="O650" s="448"/>
    </row>
    <row r="651" spans="1:15" x14ac:dyDescent="0.2">
      <c r="A651" s="8"/>
      <c r="B651" s="8"/>
      <c r="C651" s="8"/>
      <c r="D651" s="8"/>
      <c r="E651" s="8"/>
      <c r="F651" s="8"/>
      <c r="G651" s="8"/>
      <c r="H651" s="8"/>
      <c r="I651" s="8"/>
      <c r="J651" s="8"/>
      <c r="K651" s="8"/>
      <c r="L651" s="528"/>
      <c r="M651" s="528"/>
      <c r="N651" s="448"/>
      <c r="O651" s="448"/>
    </row>
    <row r="652" spans="1:15" x14ac:dyDescent="0.2">
      <c r="A652" s="8"/>
      <c r="B652" s="8"/>
      <c r="C652" s="8"/>
      <c r="D652" s="8"/>
      <c r="E652" s="8"/>
      <c r="F652" s="8"/>
      <c r="G652" s="8"/>
      <c r="H652" s="8"/>
      <c r="I652" s="8"/>
      <c r="J652" s="8"/>
      <c r="K652" s="8"/>
      <c r="L652" s="528"/>
      <c r="M652" s="528"/>
      <c r="N652" s="448"/>
      <c r="O652" s="448"/>
    </row>
    <row r="653" spans="1:15" x14ac:dyDescent="0.2">
      <c r="A653" s="8"/>
      <c r="B653" s="8"/>
      <c r="C653" s="8"/>
      <c r="D653" s="8"/>
      <c r="E653" s="8"/>
      <c r="F653" s="8"/>
      <c r="G653" s="8"/>
      <c r="H653" s="8"/>
      <c r="I653" s="8"/>
      <c r="J653" s="8"/>
      <c r="K653" s="8"/>
      <c r="L653" s="528"/>
      <c r="M653" s="528"/>
      <c r="N653" s="448"/>
      <c r="O653" s="448"/>
    </row>
    <row r="654" spans="1:15" x14ac:dyDescent="0.2">
      <c r="A654" s="8"/>
      <c r="B654" s="8"/>
      <c r="C654" s="8"/>
      <c r="D654" s="8"/>
      <c r="E654" s="8"/>
      <c r="F654" s="8"/>
      <c r="G654" s="8"/>
      <c r="H654" s="8"/>
      <c r="I654" s="8"/>
      <c r="J654" s="8"/>
      <c r="K654" s="8"/>
      <c r="L654" s="528"/>
      <c r="M654" s="528"/>
      <c r="N654" s="448"/>
      <c r="O654" s="448"/>
    </row>
    <row r="655" spans="1:15" x14ac:dyDescent="0.2">
      <c r="A655" s="8"/>
      <c r="B655" s="8"/>
      <c r="C655" s="8"/>
      <c r="D655" s="8"/>
      <c r="E655" s="8"/>
      <c r="F655" s="8"/>
      <c r="G655" s="8"/>
      <c r="H655" s="8"/>
      <c r="I655" s="8"/>
      <c r="J655" s="8"/>
      <c r="K655" s="8"/>
      <c r="L655" s="528"/>
      <c r="M655" s="528"/>
      <c r="N655" s="448"/>
      <c r="O655" s="448"/>
    </row>
    <row r="656" spans="1:15" x14ac:dyDescent="0.2">
      <c r="A656" s="8"/>
      <c r="B656" s="8"/>
      <c r="C656" s="8"/>
      <c r="D656" s="8"/>
      <c r="E656" s="8"/>
      <c r="F656" s="8"/>
      <c r="G656" s="8"/>
      <c r="H656" s="8"/>
      <c r="I656" s="8"/>
      <c r="J656" s="8"/>
      <c r="K656" s="8"/>
      <c r="L656" s="528"/>
      <c r="M656" s="528"/>
      <c r="N656" s="448"/>
      <c r="O656" s="448"/>
    </row>
    <row r="657" spans="1:15" x14ac:dyDescent="0.2">
      <c r="A657" s="8"/>
      <c r="B657" s="8"/>
      <c r="C657" s="8"/>
      <c r="D657" s="8"/>
      <c r="E657" s="8"/>
      <c r="F657" s="8"/>
      <c r="G657" s="8"/>
      <c r="H657" s="8"/>
      <c r="I657" s="8"/>
      <c r="J657" s="8"/>
      <c r="K657" s="8"/>
      <c r="L657" s="528"/>
      <c r="M657" s="528"/>
      <c r="N657" s="448"/>
      <c r="O657" s="448"/>
    </row>
    <row r="658" spans="1:15" x14ac:dyDescent="0.2">
      <c r="A658" s="8"/>
      <c r="B658" s="8"/>
      <c r="C658" s="8"/>
      <c r="D658" s="8"/>
      <c r="E658" s="8"/>
      <c r="F658" s="8"/>
      <c r="G658" s="8"/>
      <c r="H658" s="8"/>
      <c r="I658" s="8"/>
      <c r="J658" s="8"/>
      <c r="K658" s="8"/>
      <c r="L658" s="528"/>
      <c r="M658" s="528"/>
      <c r="N658" s="448"/>
      <c r="O658" s="448"/>
    </row>
    <row r="659" spans="1:15" x14ac:dyDescent="0.2">
      <c r="A659" s="8"/>
      <c r="B659" s="8"/>
      <c r="C659" s="8"/>
      <c r="D659" s="8"/>
      <c r="E659" s="8"/>
      <c r="F659" s="8"/>
      <c r="G659" s="8"/>
      <c r="H659" s="8"/>
      <c r="I659" s="8"/>
      <c r="J659" s="8"/>
      <c r="K659" s="8"/>
      <c r="L659" s="528"/>
      <c r="M659" s="528"/>
      <c r="N659" s="448"/>
      <c r="O659" s="448"/>
    </row>
    <row r="660" spans="1:15" x14ac:dyDescent="0.2">
      <c r="A660" s="8"/>
      <c r="B660" s="8"/>
      <c r="C660" s="8"/>
      <c r="D660" s="8"/>
      <c r="E660" s="8"/>
      <c r="F660" s="8"/>
      <c r="G660" s="8"/>
      <c r="H660" s="8"/>
      <c r="I660" s="8"/>
      <c r="J660" s="8"/>
      <c r="K660" s="8"/>
      <c r="L660" s="528"/>
      <c r="M660" s="528"/>
      <c r="N660" s="448"/>
      <c r="O660" s="448"/>
    </row>
    <row r="661" spans="1:15" x14ac:dyDescent="0.2">
      <c r="A661" s="8"/>
      <c r="B661" s="8"/>
      <c r="C661" s="8"/>
      <c r="D661" s="8"/>
      <c r="E661" s="8"/>
      <c r="F661" s="8"/>
      <c r="G661" s="8"/>
      <c r="H661" s="8"/>
      <c r="I661" s="8"/>
      <c r="J661" s="8"/>
      <c r="K661" s="8"/>
      <c r="L661" s="528"/>
      <c r="M661" s="528"/>
      <c r="N661" s="448"/>
      <c r="O661" s="448"/>
    </row>
    <row r="662" spans="1:15" x14ac:dyDescent="0.2">
      <c r="A662" s="8"/>
      <c r="B662" s="8"/>
      <c r="C662" s="8"/>
      <c r="D662" s="8"/>
      <c r="E662" s="8"/>
      <c r="F662" s="8"/>
      <c r="G662" s="8"/>
      <c r="H662" s="8"/>
      <c r="I662" s="8"/>
      <c r="J662" s="8"/>
      <c r="K662" s="8"/>
      <c r="L662" s="528"/>
      <c r="M662" s="528"/>
      <c r="N662" s="448"/>
      <c r="O662" s="448"/>
    </row>
    <row r="663" spans="1:15" x14ac:dyDescent="0.2">
      <c r="A663" s="8"/>
      <c r="B663" s="8"/>
      <c r="C663" s="8"/>
      <c r="D663" s="8"/>
      <c r="E663" s="8"/>
      <c r="F663" s="8"/>
      <c r="G663" s="8"/>
      <c r="H663" s="8"/>
      <c r="I663" s="8"/>
      <c r="J663" s="8"/>
      <c r="K663" s="8"/>
      <c r="L663" s="528"/>
      <c r="M663" s="528"/>
      <c r="N663" s="448"/>
      <c r="O663" s="448"/>
    </row>
    <row r="664" spans="1:15" x14ac:dyDescent="0.2">
      <c r="A664" s="8"/>
      <c r="B664" s="8"/>
      <c r="C664" s="8"/>
      <c r="D664" s="8"/>
      <c r="E664" s="8"/>
      <c r="F664" s="8"/>
      <c r="G664" s="8"/>
      <c r="H664" s="8"/>
      <c r="I664" s="8"/>
      <c r="J664" s="8"/>
      <c r="K664" s="8"/>
      <c r="L664" s="528"/>
      <c r="M664" s="528"/>
      <c r="N664" s="448"/>
      <c r="O664" s="448"/>
    </row>
    <row r="665" spans="1:15" x14ac:dyDescent="0.2">
      <c r="A665" s="8"/>
      <c r="B665" s="8"/>
      <c r="C665" s="8"/>
      <c r="D665" s="8"/>
      <c r="E665" s="8"/>
      <c r="F665" s="8"/>
      <c r="G665" s="8"/>
      <c r="H665" s="8"/>
      <c r="I665" s="8"/>
      <c r="J665" s="8"/>
      <c r="K665" s="8"/>
      <c r="L665" s="528"/>
      <c r="M665" s="528"/>
      <c r="N665" s="448"/>
      <c r="O665" s="448"/>
    </row>
    <row r="666" spans="1:15" x14ac:dyDescent="0.2">
      <c r="A666" s="8"/>
      <c r="B666" s="8"/>
      <c r="C666" s="8"/>
      <c r="D666" s="8"/>
      <c r="E666" s="8"/>
      <c r="F666" s="8"/>
      <c r="G666" s="8"/>
      <c r="H666" s="8"/>
      <c r="I666" s="8"/>
      <c r="J666" s="8"/>
      <c r="K666" s="8"/>
      <c r="L666" s="528"/>
      <c r="M666" s="528"/>
      <c r="N666" s="448"/>
      <c r="O666" s="448"/>
    </row>
    <row r="667" spans="1:15" x14ac:dyDescent="0.2">
      <c r="A667" s="8"/>
      <c r="B667" s="8"/>
      <c r="C667" s="8"/>
      <c r="D667" s="8"/>
      <c r="E667" s="8"/>
      <c r="F667" s="8"/>
      <c r="G667" s="8"/>
      <c r="H667" s="8"/>
      <c r="I667" s="8"/>
      <c r="J667" s="8"/>
      <c r="K667" s="8"/>
      <c r="L667" s="528"/>
      <c r="M667" s="528"/>
      <c r="N667" s="448"/>
      <c r="O667" s="448"/>
    </row>
    <row r="668" spans="1:15" x14ac:dyDescent="0.2">
      <c r="A668" s="8"/>
      <c r="B668" s="8"/>
      <c r="C668" s="8"/>
      <c r="D668" s="8"/>
      <c r="E668" s="8"/>
      <c r="F668" s="8"/>
      <c r="G668" s="8"/>
      <c r="H668" s="8"/>
      <c r="I668" s="8"/>
      <c r="J668" s="8"/>
      <c r="K668" s="8"/>
      <c r="L668" s="528"/>
      <c r="M668" s="528"/>
      <c r="N668" s="448"/>
      <c r="O668" s="448"/>
    </row>
    <row r="669" spans="1:15" x14ac:dyDescent="0.2">
      <c r="A669" s="8"/>
      <c r="B669" s="8"/>
      <c r="C669" s="8"/>
      <c r="D669" s="8"/>
      <c r="E669" s="8"/>
      <c r="F669" s="8"/>
      <c r="G669" s="8"/>
      <c r="H669" s="8"/>
      <c r="I669" s="8"/>
      <c r="J669" s="8"/>
      <c r="K669" s="8"/>
      <c r="L669" s="528"/>
      <c r="M669" s="528"/>
      <c r="N669" s="448"/>
      <c r="O669" s="448"/>
    </row>
    <row r="670" spans="1:15" x14ac:dyDescent="0.2">
      <c r="A670" s="8"/>
      <c r="B670" s="8"/>
      <c r="C670" s="8"/>
      <c r="D670" s="8"/>
      <c r="E670" s="8"/>
      <c r="F670" s="8"/>
      <c r="G670" s="8"/>
      <c r="H670" s="8"/>
      <c r="I670" s="8"/>
      <c r="J670" s="8"/>
      <c r="K670" s="8"/>
      <c r="L670" s="528"/>
      <c r="M670" s="528"/>
      <c r="N670" s="448"/>
      <c r="O670" s="448"/>
    </row>
    <row r="671" spans="1:15" x14ac:dyDescent="0.2">
      <c r="A671" s="8"/>
      <c r="B671" s="8"/>
      <c r="C671" s="8"/>
      <c r="D671" s="8"/>
      <c r="E671" s="8"/>
      <c r="F671" s="8"/>
      <c r="G671" s="8"/>
      <c r="H671" s="8"/>
      <c r="I671" s="8"/>
      <c r="J671" s="8"/>
      <c r="K671" s="8"/>
      <c r="L671" s="528"/>
      <c r="M671" s="528"/>
      <c r="N671" s="448"/>
      <c r="O671" s="448"/>
    </row>
    <row r="672" spans="1:15" x14ac:dyDescent="0.2">
      <c r="A672" s="8"/>
      <c r="B672" s="8"/>
      <c r="C672" s="8"/>
      <c r="D672" s="8"/>
      <c r="E672" s="8"/>
      <c r="F672" s="8"/>
      <c r="G672" s="8"/>
      <c r="H672" s="8"/>
      <c r="I672" s="8"/>
      <c r="J672" s="8"/>
      <c r="K672" s="8"/>
      <c r="L672" s="528"/>
      <c r="M672" s="528"/>
      <c r="N672" s="448"/>
      <c r="O672" s="448"/>
    </row>
    <row r="673" spans="1:15" x14ac:dyDescent="0.2">
      <c r="A673" s="8"/>
      <c r="B673" s="8"/>
      <c r="C673" s="8"/>
      <c r="D673" s="8"/>
      <c r="E673" s="8"/>
      <c r="F673" s="8"/>
      <c r="G673" s="8"/>
      <c r="H673" s="8"/>
      <c r="I673" s="8"/>
      <c r="J673" s="8"/>
      <c r="K673" s="8"/>
      <c r="L673" s="528"/>
      <c r="M673" s="528"/>
      <c r="N673" s="448"/>
      <c r="O673" s="448"/>
    </row>
    <row r="674" spans="1:15" x14ac:dyDescent="0.2">
      <c r="A674" s="8"/>
      <c r="B674" s="8"/>
      <c r="C674" s="8"/>
      <c r="D674" s="8"/>
      <c r="E674" s="8"/>
      <c r="F674" s="8"/>
      <c r="G674" s="8"/>
      <c r="H674" s="8"/>
      <c r="I674" s="8"/>
      <c r="J674" s="8"/>
      <c r="K674" s="8"/>
      <c r="L674" s="528"/>
      <c r="M674" s="528"/>
      <c r="N674" s="448"/>
      <c r="O674" s="448"/>
    </row>
    <row r="675" spans="1:15" x14ac:dyDescent="0.2">
      <c r="A675" s="8"/>
      <c r="B675" s="8"/>
      <c r="C675" s="8"/>
      <c r="D675" s="8"/>
      <c r="E675" s="8"/>
      <c r="F675" s="8"/>
      <c r="G675" s="8"/>
      <c r="H675" s="8"/>
      <c r="I675" s="8"/>
      <c r="J675" s="8"/>
      <c r="K675" s="8"/>
      <c r="L675" s="528"/>
      <c r="M675" s="528"/>
      <c r="N675" s="448"/>
      <c r="O675" s="448"/>
    </row>
    <row r="676" spans="1:15" x14ac:dyDescent="0.2">
      <c r="A676" s="8"/>
      <c r="B676" s="8"/>
      <c r="C676" s="8"/>
      <c r="D676" s="8"/>
      <c r="E676" s="8"/>
      <c r="F676" s="8"/>
      <c r="G676" s="8"/>
      <c r="H676" s="8"/>
      <c r="I676" s="8"/>
      <c r="J676" s="8"/>
      <c r="K676" s="8"/>
      <c r="L676" s="528"/>
      <c r="M676" s="528"/>
      <c r="N676" s="448"/>
      <c r="O676" s="448"/>
    </row>
    <row r="677" spans="1:15" x14ac:dyDescent="0.2">
      <c r="A677" s="8"/>
      <c r="B677" s="8"/>
      <c r="C677" s="8"/>
      <c r="D677" s="8"/>
      <c r="E677" s="8"/>
      <c r="F677" s="8"/>
      <c r="G677" s="8"/>
      <c r="H677" s="8"/>
      <c r="I677" s="8"/>
      <c r="J677" s="8"/>
      <c r="K677" s="8"/>
      <c r="L677" s="528"/>
      <c r="M677" s="528"/>
      <c r="N677" s="448"/>
      <c r="O677" s="448"/>
    </row>
    <row r="678" spans="1:15" x14ac:dyDescent="0.2">
      <c r="A678" s="8"/>
      <c r="B678" s="8"/>
      <c r="C678" s="8"/>
      <c r="D678" s="8"/>
      <c r="E678" s="8"/>
      <c r="F678" s="8"/>
      <c r="G678" s="8"/>
      <c r="H678" s="8"/>
      <c r="I678" s="8"/>
      <c r="J678" s="8"/>
      <c r="K678" s="8"/>
      <c r="L678" s="528"/>
      <c r="M678" s="528"/>
      <c r="N678" s="448"/>
      <c r="O678" s="448"/>
    </row>
    <row r="679" spans="1:15" x14ac:dyDescent="0.2">
      <c r="A679" s="8"/>
      <c r="B679" s="8"/>
      <c r="C679" s="8"/>
      <c r="D679" s="8"/>
      <c r="E679" s="8"/>
      <c r="F679" s="8"/>
      <c r="G679" s="8"/>
      <c r="H679" s="8"/>
      <c r="I679" s="8"/>
      <c r="J679" s="8"/>
      <c r="K679" s="8"/>
      <c r="L679" s="528"/>
      <c r="M679" s="528"/>
      <c r="N679" s="448"/>
      <c r="O679" s="448"/>
    </row>
    <row r="680" spans="1:15" x14ac:dyDescent="0.2">
      <c r="A680" s="8"/>
      <c r="B680" s="8"/>
      <c r="C680" s="8"/>
      <c r="D680" s="8"/>
      <c r="E680" s="8"/>
      <c r="F680" s="8"/>
      <c r="G680" s="8"/>
      <c r="H680" s="8"/>
      <c r="I680" s="8"/>
      <c r="J680" s="8"/>
      <c r="K680" s="8"/>
      <c r="L680" s="528"/>
      <c r="M680" s="528"/>
      <c r="N680" s="448"/>
      <c r="O680" s="448"/>
    </row>
    <row r="681" spans="1:15" x14ac:dyDescent="0.2">
      <c r="A681" s="8"/>
      <c r="B681" s="8"/>
      <c r="C681" s="8"/>
      <c r="D681" s="8"/>
      <c r="E681" s="8"/>
      <c r="F681" s="8"/>
      <c r="G681" s="8"/>
      <c r="H681" s="8"/>
      <c r="I681" s="8"/>
      <c r="J681" s="8"/>
      <c r="K681" s="8"/>
      <c r="L681" s="528"/>
      <c r="M681" s="528"/>
      <c r="N681" s="448"/>
      <c r="O681" s="448"/>
    </row>
    <row r="682" spans="1:15" x14ac:dyDescent="0.2">
      <c r="A682" s="8"/>
      <c r="B682" s="8"/>
      <c r="C682" s="8"/>
      <c r="D682" s="8"/>
      <c r="E682" s="8"/>
      <c r="F682" s="8"/>
      <c r="G682" s="8"/>
      <c r="H682" s="8"/>
      <c r="I682" s="8"/>
      <c r="J682" s="8"/>
      <c r="K682" s="8"/>
      <c r="L682" s="528"/>
      <c r="M682" s="528"/>
      <c r="N682" s="448"/>
      <c r="O682" s="448"/>
    </row>
    <row r="683" spans="1:15" x14ac:dyDescent="0.2">
      <c r="A683" s="8"/>
      <c r="B683" s="8"/>
      <c r="C683" s="8"/>
      <c r="D683" s="8"/>
      <c r="E683" s="8"/>
      <c r="F683" s="8"/>
      <c r="G683" s="8"/>
      <c r="H683" s="8"/>
      <c r="I683" s="8"/>
      <c r="J683" s="8"/>
      <c r="K683" s="8"/>
      <c r="L683" s="528"/>
      <c r="M683" s="528"/>
      <c r="N683" s="448"/>
      <c r="O683" s="448"/>
    </row>
    <row r="684" spans="1:15" x14ac:dyDescent="0.2">
      <c r="A684" s="8"/>
      <c r="B684" s="8"/>
      <c r="C684" s="8"/>
      <c r="D684" s="8"/>
      <c r="E684" s="8"/>
      <c r="F684" s="8"/>
      <c r="G684" s="8"/>
      <c r="H684" s="8"/>
      <c r="I684" s="8"/>
      <c r="J684" s="8"/>
      <c r="K684" s="8"/>
      <c r="L684" s="528"/>
      <c r="M684" s="528"/>
      <c r="N684" s="448"/>
      <c r="O684" s="448"/>
    </row>
    <row r="685" spans="1:15" x14ac:dyDescent="0.2">
      <c r="A685" s="8"/>
      <c r="B685" s="8"/>
      <c r="C685" s="8"/>
      <c r="D685" s="8"/>
      <c r="E685" s="8"/>
      <c r="F685" s="8"/>
      <c r="G685" s="8"/>
      <c r="H685" s="8"/>
      <c r="I685" s="8"/>
      <c r="J685" s="8"/>
      <c r="K685" s="8"/>
      <c r="L685" s="528"/>
      <c r="M685" s="528"/>
      <c r="N685" s="448"/>
      <c r="O685" s="448"/>
    </row>
    <row r="686" spans="1:15" x14ac:dyDescent="0.2">
      <c r="A686" s="8"/>
      <c r="B686" s="8"/>
      <c r="C686" s="8"/>
      <c r="D686" s="8"/>
      <c r="E686" s="8"/>
      <c r="F686" s="8"/>
      <c r="G686" s="8"/>
      <c r="H686" s="8"/>
      <c r="I686" s="8"/>
      <c r="J686" s="8"/>
      <c r="K686" s="8"/>
      <c r="L686" s="528"/>
      <c r="M686" s="528"/>
      <c r="N686" s="448"/>
      <c r="O686" s="448"/>
    </row>
    <row r="687" spans="1:15" x14ac:dyDescent="0.2">
      <c r="A687" s="8"/>
      <c r="B687" s="8"/>
      <c r="C687" s="8"/>
      <c r="D687" s="8"/>
      <c r="E687" s="8"/>
      <c r="F687" s="8"/>
      <c r="G687" s="8"/>
      <c r="H687" s="8"/>
      <c r="I687" s="8"/>
      <c r="J687" s="8"/>
      <c r="K687" s="8"/>
      <c r="L687" s="528"/>
      <c r="M687" s="528"/>
      <c r="N687" s="448"/>
      <c r="O687" s="448"/>
    </row>
    <row r="688" spans="1:15" x14ac:dyDescent="0.2">
      <c r="A688" s="8"/>
      <c r="B688" s="8"/>
      <c r="C688" s="8"/>
      <c r="D688" s="8"/>
      <c r="E688" s="8"/>
      <c r="F688" s="8"/>
      <c r="G688" s="8"/>
      <c r="H688" s="8"/>
      <c r="I688" s="8"/>
      <c r="J688" s="8"/>
      <c r="K688" s="8"/>
      <c r="L688" s="528"/>
      <c r="M688" s="528"/>
      <c r="N688" s="448"/>
      <c r="O688" s="448"/>
    </row>
    <row r="689" spans="1:15" x14ac:dyDescent="0.2">
      <c r="A689" s="8"/>
      <c r="B689" s="8"/>
      <c r="C689" s="8"/>
      <c r="D689" s="8"/>
      <c r="E689" s="8"/>
      <c r="F689" s="8"/>
      <c r="G689" s="8"/>
      <c r="H689" s="8"/>
      <c r="I689" s="8"/>
      <c r="J689" s="8"/>
      <c r="K689" s="8"/>
      <c r="L689" s="528"/>
      <c r="M689" s="528"/>
      <c r="N689" s="448"/>
      <c r="O689" s="448"/>
    </row>
    <row r="690" spans="1:15" x14ac:dyDescent="0.2">
      <c r="A690" s="8"/>
      <c r="B690" s="8"/>
      <c r="C690" s="8"/>
      <c r="D690" s="8"/>
      <c r="E690" s="8"/>
      <c r="F690" s="8"/>
      <c r="G690" s="8"/>
      <c r="H690" s="8"/>
      <c r="I690" s="8"/>
      <c r="J690" s="8"/>
      <c r="K690" s="8"/>
      <c r="L690" s="528"/>
      <c r="M690" s="528"/>
      <c r="N690" s="448"/>
      <c r="O690" s="448"/>
    </row>
    <row r="691" spans="1:15" x14ac:dyDescent="0.2">
      <c r="A691" s="8"/>
      <c r="B691" s="8"/>
      <c r="C691" s="8"/>
      <c r="D691" s="8"/>
      <c r="E691" s="8"/>
      <c r="F691" s="8"/>
      <c r="G691" s="8"/>
      <c r="H691" s="8"/>
      <c r="I691" s="8"/>
      <c r="J691" s="8"/>
      <c r="K691" s="8"/>
      <c r="L691" s="528"/>
      <c r="M691" s="528"/>
      <c r="N691" s="448"/>
      <c r="O691" s="448"/>
    </row>
    <row r="692" spans="1:15" x14ac:dyDescent="0.2">
      <c r="A692" s="8"/>
      <c r="B692" s="8"/>
      <c r="C692" s="8"/>
      <c r="D692" s="8"/>
      <c r="E692" s="8"/>
      <c r="F692" s="8"/>
      <c r="G692" s="8"/>
      <c r="H692" s="8"/>
      <c r="I692" s="8"/>
      <c r="J692" s="8"/>
      <c r="K692" s="8"/>
      <c r="L692" s="528"/>
      <c r="M692" s="528"/>
      <c r="N692" s="448"/>
      <c r="O692" s="448"/>
    </row>
    <row r="693" spans="1:15" x14ac:dyDescent="0.2">
      <c r="A693" s="8"/>
      <c r="B693" s="8"/>
      <c r="C693" s="8"/>
      <c r="D693" s="8"/>
      <c r="E693" s="8"/>
      <c r="F693" s="8"/>
      <c r="G693" s="8"/>
      <c r="H693" s="8"/>
      <c r="I693" s="8"/>
      <c r="J693" s="8"/>
      <c r="K693" s="8"/>
      <c r="L693" s="528"/>
      <c r="M693" s="528"/>
      <c r="N693" s="448"/>
      <c r="O693" s="448"/>
    </row>
    <row r="694" spans="1:15" x14ac:dyDescent="0.2">
      <c r="A694" s="8"/>
      <c r="B694" s="8"/>
      <c r="C694" s="8"/>
      <c r="D694" s="8"/>
      <c r="E694" s="8"/>
      <c r="F694" s="8"/>
      <c r="G694" s="8"/>
      <c r="H694" s="8"/>
      <c r="I694" s="8"/>
      <c r="J694" s="8"/>
      <c r="K694" s="8"/>
      <c r="L694" s="528"/>
      <c r="M694" s="528"/>
      <c r="N694" s="448"/>
      <c r="O694" s="448"/>
    </row>
    <row r="695" spans="1:15" x14ac:dyDescent="0.2">
      <c r="A695" s="8"/>
      <c r="B695" s="8"/>
      <c r="C695" s="8"/>
      <c r="D695" s="8"/>
      <c r="E695" s="8"/>
      <c r="F695" s="8"/>
      <c r="G695" s="8"/>
      <c r="H695" s="8"/>
      <c r="I695" s="8"/>
      <c r="J695" s="8"/>
      <c r="K695" s="8"/>
      <c r="L695" s="528"/>
      <c r="M695" s="528"/>
      <c r="N695" s="448"/>
      <c r="O695" s="448"/>
    </row>
    <row r="696" spans="1:15" x14ac:dyDescent="0.2">
      <c r="A696" s="8"/>
      <c r="B696" s="8"/>
      <c r="C696" s="8"/>
      <c r="D696" s="8"/>
      <c r="E696" s="8"/>
      <c r="F696" s="8"/>
      <c r="G696" s="8"/>
      <c r="H696" s="8"/>
      <c r="I696" s="8"/>
      <c r="J696" s="8"/>
      <c r="K696" s="8"/>
      <c r="L696" s="528"/>
      <c r="M696" s="528"/>
      <c r="N696" s="448"/>
      <c r="O696" s="448"/>
    </row>
    <row r="697" spans="1:15" x14ac:dyDescent="0.2">
      <c r="A697" s="8"/>
      <c r="B697" s="8"/>
      <c r="C697" s="8"/>
      <c r="D697" s="8"/>
      <c r="E697" s="8"/>
      <c r="F697" s="8"/>
      <c r="G697" s="8"/>
      <c r="H697" s="8"/>
      <c r="I697" s="8"/>
      <c r="J697" s="8"/>
      <c r="K697" s="8"/>
      <c r="L697" s="528"/>
      <c r="M697" s="528"/>
      <c r="N697" s="448"/>
      <c r="O697" s="448"/>
    </row>
    <row r="698" spans="1:15" x14ac:dyDescent="0.2">
      <c r="A698" s="8"/>
      <c r="B698" s="8"/>
      <c r="C698" s="8"/>
      <c r="D698" s="8"/>
      <c r="E698" s="8"/>
      <c r="F698" s="8"/>
      <c r="G698" s="8"/>
      <c r="H698" s="8"/>
      <c r="I698" s="8"/>
      <c r="J698" s="8"/>
      <c r="K698" s="8"/>
      <c r="L698" s="528"/>
      <c r="M698" s="528"/>
      <c r="N698" s="448"/>
      <c r="O698" s="448"/>
    </row>
    <row r="699" spans="1:15" x14ac:dyDescent="0.2">
      <c r="A699" s="8"/>
      <c r="B699" s="8"/>
      <c r="C699" s="8"/>
      <c r="D699" s="8"/>
      <c r="E699" s="8"/>
      <c r="F699" s="8"/>
      <c r="G699" s="8"/>
      <c r="H699" s="8"/>
      <c r="I699" s="8"/>
      <c r="J699" s="8"/>
      <c r="K699" s="8"/>
      <c r="L699" s="528"/>
      <c r="M699" s="528"/>
      <c r="N699" s="448"/>
      <c r="O699" s="448"/>
    </row>
    <row r="700" spans="1:15" x14ac:dyDescent="0.2">
      <c r="A700" s="8"/>
      <c r="B700" s="8"/>
      <c r="C700" s="8"/>
      <c r="D700" s="8"/>
      <c r="E700" s="8"/>
      <c r="F700" s="8"/>
      <c r="G700" s="8"/>
      <c r="H700" s="8"/>
      <c r="I700" s="8"/>
      <c r="J700" s="8"/>
      <c r="K700" s="8"/>
      <c r="L700" s="528"/>
      <c r="M700" s="528"/>
      <c r="N700" s="448"/>
      <c r="O700" s="448"/>
    </row>
    <row r="701" spans="1:15" x14ac:dyDescent="0.2">
      <c r="A701" s="373"/>
      <c r="B701" s="373"/>
      <c r="C701" s="373"/>
      <c r="D701" s="373"/>
      <c r="E701" s="373"/>
      <c r="F701" s="373"/>
      <c r="G701" s="373"/>
      <c r="H701" s="373"/>
      <c r="I701" s="373"/>
      <c r="J701" s="373"/>
      <c r="K701" s="373"/>
      <c r="L701" s="374"/>
      <c r="M701" s="374"/>
      <c r="N701" s="397"/>
      <c r="O701" s="397"/>
    </row>
    <row r="702" spans="1:15" x14ac:dyDescent="0.2">
      <c r="A702" s="373"/>
      <c r="B702" s="373"/>
      <c r="C702" s="373"/>
      <c r="D702" s="373"/>
      <c r="E702" s="373"/>
      <c r="F702" s="373"/>
      <c r="G702" s="373"/>
      <c r="H702" s="373"/>
      <c r="I702" s="373"/>
      <c r="J702" s="373"/>
      <c r="K702" s="373"/>
      <c r="L702" s="374"/>
      <c r="M702" s="374"/>
      <c r="N702" s="397"/>
      <c r="O702" s="397"/>
    </row>
    <row r="703" spans="1:15" x14ac:dyDescent="0.2">
      <c r="A703" s="373"/>
      <c r="B703" s="373"/>
      <c r="C703" s="373"/>
      <c r="D703" s="373"/>
      <c r="E703" s="373"/>
      <c r="F703" s="373"/>
      <c r="G703" s="373"/>
      <c r="H703" s="373"/>
      <c r="I703" s="373"/>
      <c r="J703" s="373"/>
      <c r="K703" s="373"/>
      <c r="L703" s="374"/>
      <c r="M703" s="374"/>
      <c r="N703" s="397"/>
      <c r="O703" s="397"/>
    </row>
    <row r="704" spans="1:15" x14ac:dyDescent="0.2">
      <c r="A704" s="373"/>
      <c r="B704" s="373"/>
      <c r="C704" s="373"/>
      <c r="D704" s="373"/>
      <c r="E704" s="373"/>
      <c r="F704" s="373"/>
      <c r="G704" s="373"/>
      <c r="H704" s="373"/>
      <c r="I704" s="373"/>
      <c r="J704" s="373"/>
      <c r="K704" s="373"/>
      <c r="L704" s="374"/>
      <c r="M704" s="374"/>
      <c r="N704" s="397"/>
      <c r="O704" s="397"/>
    </row>
  </sheetData>
  <sheetProtection password="CBAF" sheet="1" objects="1" scenarios="1" selectLockedCells="1"/>
  <dataConsolidate/>
  <mergeCells count="46">
    <mergeCell ref="V224:Z224"/>
    <mergeCell ref="AK224:AP224"/>
    <mergeCell ref="V186:Z186"/>
    <mergeCell ref="AK186:AP186"/>
    <mergeCell ref="AK187:AP187"/>
    <mergeCell ref="V187:Z187"/>
    <mergeCell ref="AN160:AN169"/>
    <mergeCell ref="AN134:AN147"/>
    <mergeCell ref="AN179:AN181"/>
    <mergeCell ref="D155:J155"/>
    <mergeCell ref="AN171:AN178"/>
    <mergeCell ref="AN148:AN159"/>
    <mergeCell ref="D146:E146"/>
    <mergeCell ref="G146:J146"/>
    <mergeCell ref="CG227:CK227"/>
    <mergeCell ref="DD227:DH227"/>
    <mergeCell ref="EA227:EE227"/>
    <mergeCell ref="AZ171:AZ178"/>
    <mergeCell ref="AZ134:AZ147"/>
    <mergeCell ref="AZ148:AZ159"/>
    <mergeCell ref="AZ179:AZ181"/>
    <mergeCell ref="AZ160:AZ170"/>
    <mergeCell ref="B46:K47"/>
    <mergeCell ref="AA144:AB144"/>
    <mergeCell ref="D93:E93"/>
    <mergeCell ref="D98:E98"/>
    <mergeCell ref="G98:J99"/>
    <mergeCell ref="D140:E140"/>
    <mergeCell ref="F110:H111"/>
    <mergeCell ref="G123:J123"/>
    <mergeCell ref="G120:J120"/>
    <mergeCell ref="G115:J115"/>
    <mergeCell ref="G93:J94"/>
    <mergeCell ref="D137:E137"/>
    <mergeCell ref="D143:E143"/>
    <mergeCell ref="G143:J143"/>
    <mergeCell ref="G137:J137"/>
    <mergeCell ref="D131:E131"/>
    <mergeCell ref="D103:E103"/>
    <mergeCell ref="G103:J104"/>
    <mergeCell ref="G140:J140"/>
    <mergeCell ref="D120:E120"/>
    <mergeCell ref="D126:E126"/>
    <mergeCell ref="D123:E123"/>
    <mergeCell ref="G126:J126"/>
    <mergeCell ref="G131:J131"/>
  </mergeCells>
  <phoneticPr fontId="4" type="noConversion"/>
  <conditionalFormatting sqref="D135:J149">
    <cfRule type="expression" dxfId="22" priority="4" stopIfTrue="1">
      <formula>$G$115=$O$130</formula>
    </cfRule>
  </conditionalFormatting>
  <dataValidations count="6">
    <dataValidation type="list" allowBlank="1" showInputMessage="1" showErrorMessage="1" sqref="D93:E93">
      <formula1>$AA$145:$AA$151</formula1>
    </dataValidation>
    <dataValidation type="list" allowBlank="1" showInputMessage="1" showErrorMessage="1" sqref="E26">
      <formula1>sceltalingue2</formula1>
    </dataValidation>
    <dataValidation type="decimal" allowBlank="1" showInputMessage="1" showErrorMessage="1" sqref="E43">
      <formula1>0</formula1>
      <formula2>1</formula2>
    </dataValidation>
    <dataValidation type="list" allowBlank="1" showInputMessage="1" showErrorMessage="1" sqref="D137">
      <formula1>$K$158:$K$178</formula1>
    </dataValidation>
    <dataValidation type="list" allowBlank="1" showInputMessage="1" showErrorMessage="1" sqref="D103:E103">
      <formula1>IF($F$93=$K$93,UR,IF($F$93=$K$94,UE,IF($F$93=$K$95,UG," ")))</formula1>
    </dataValidation>
    <dataValidation type="list" allowBlank="1" showInputMessage="1" showErrorMessage="1" sqref="D98:E98">
      <formula1>IF(F93=K95,_UG2,IF(OR(AP123=AX134,AP123=AX160,AP123=AX161,AP123=AX138),_UE01,IF(AP123=AX135,_UE03,IF(AP123=AX162,_UE06,IF(AP123=AX136,_UE05,IF(OR(AP123=AX137,AP123=AX139,AP123=AX140,AP123=AX142,AP123=AX144,AP123=AX143,AP123=AX165,AP123=AX166),_UE08,_UE18))))))</formula1>
    </dataValidation>
  </dataValidations>
  <printOptions horizontalCentered="1"/>
  <pageMargins left="0.31496062992125984" right="0.31496062992125984" top="0.47244094488188981" bottom="0.47244094488188981" header="0.35433070866141736" footer="0.35433070866141736"/>
  <pageSetup paperSize="9" scale="70" orientation="portrait" r:id="rId1"/>
  <headerFooter alignWithMargins="0">
    <oddHeader>&amp;L&amp;"Arial,Grassetto"&amp;8&amp;D  &amp;F</oddHeader>
    <oddFooter>&amp;L&amp;"Arial,Grassetto"&amp;8&amp;A</oddFooter>
  </headerFooter>
  <rowBreaks count="1" manualBreakCount="1">
    <brk id="104" max="11" man="1"/>
  </row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4" enableFormatConditionsCalculation="0">
    <tabColor rgb="FF92D050"/>
    <pageSetUpPr fitToPage="1"/>
  </sheetPr>
  <dimension ref="A2:U70"/>
  <sheetViews>
    <sheetView showGridLines="0" zoomScale="80" zoomScaleNormal="80" workbookViewId="0">
      <selection activeCell="I24" sqref="I24"/>
    </sheetView>
  </sheetViews>
  <sheetFormatPr defaultColWidth="8.85546875" defaultRowHeight="12.75" x14ac:dyDescent="0.2"/>
  <cols>
    <col min="1" max="1" width="3.28515625" style="33" customWidth="1"/>
    <col min="2" max="2" width="16.85546875" style="33" customWidth="1"/>
    <col min="3" max="6" width="8.85546875" style="33"/>
    <col min="7" max="7" width="22.85546875" style="33" customWidth="1"/>
    <col min="8" max="8" width="36.42578125" style="33" customWidth="1"/>
    <col min="9" max="9" width="10.28515625" style="33" customWidth="1"/>
    <col min="10" max="10" width="11.28515625" style="33" customWidth="1"/>
    <col min="11" max="11" width="12.140625" style="33" customWidth="1"/>
    <col min="12" max="12" width="6.5703125" style="33" customWidth="1"/>
    <col min="13" max="13" width="8.85546875" style="33"/>
    <col min="14" max="22" width="0" style="33" hidden="1" customWidth="1"/>
    <col min="23" max="16384" width="8.85546875" style="33"/>
  </cols>
  <sheetData>
    <row r="2" spans="2:21" ht="49.9" customHeight="1" x14ac:dyDescent="0.2"/>
    <row r="3" spans="2:21" ht="22.9" customHeight="1" x14ac:dyDescent="0.2">
      <c r="B3" s="183" t="str">
        <f>LINGUA!B3</f>
        <v>INSTRUCTIONS: insert input data in grey cells. Results appear in green cells.</v>
      </c>
      <c r="C3" s="183"/>
      <c r="D3" s="183"/>
      <c r="E3" s="183"/>
      <c r="F3" s="183"/>
      <c r="G3" s="183"/>
      <c r="H3" s="183"/>
      <c r="I3" s="183"/>
      <c r="J3" s="183"/>
      <c r="K3" s="183"/>
      <c r="L3" s="183"/>
      <c r="T3" s="33" t="s">
        <v>2813</v>
      </c>
    </row>
    <row r="4" spans="2:21" x14ac:dyDescent="0.2">
      <c r="B4" s="41"/>
      <c r="C4" s="41"/>
      <c r="D4" s="41"/>
      <c r="E4" s="41"/>
      <c r="F4" s="41"/>
      <c r="G4" s="41"/>
      <c r="H4" s="41"/>
      <c r="I4" s="41"/>
      <c r="J4" s="41"/>
      <c r="K4" s="41"/>
      <c r="L4" s="41"/>
      <c r="T4" s="33" t="s">
        <v>2814</v>
      </c>
    </row>
    <row r="5" spans="2:21" x14ac:dyDescent="0.2">
      <c r="B5" s="55" t="str">
        <f>LINGUA!B44</f>
        <v>Humidifier</v>
      </c>
      <c r="C5" s="183"/>
      <c r="D5" s="41"/>
      <c r="E5" s="41"/>
      <c r="F5" s="41"/>
      <c r="G5" s="41"/>
      <c r="H5" s="41"/>
      <c r="I5" s="41"/>
      <c r="J5" s="41"/>
      <c r="K5" s="41"/>
      <c r="L5" s="41"/>
    </row>
    <row r="6" spans="2:21" x14ac:dyDescent="0.2">
      <c r="B6" s="217" t="str">
        <f>LINGUA!$B$27</f>
        <v>Code</v>
      </c>
      <c r="C6" s="742" t="str">
        <f>LINGUA!$B$28</f>
        <v>Description</v>
      </c>
      <c r="D6" s="743"/>
      <c r="E6" s="743"/>
      <c r="F6" s="743"/>
      <c r="G6" s="743"/>
      <c r="H6" s="743"/>
      <c r="I6" s="744"/>
      <c r="J6" s="218" t="str">
        <f>LINGUA!$B$26</f>
        <v>Quantity</v>
      </c>
      <c r="K6" s="742" t="str">
        <f>LINGUA!$B$29</f>
        <v>List price</v>
      </c>
      <c r="L6" s="744"/>
      <c r="T6" s="33" t="str">
        <f>LINGUA!C541</f>
        <v>No NSF Certification</v>
      </c>
    </row>
    <row r="7" spans="2:21" x14ac:dyDescent="0.2">
      <c r="B7" s="202" t="str">
        <f>DESIGN!F110</f>
        <v>UR080HL103</v>
      </c>
      <c r="C7" s="745" t="str">
        <f>CONCATENATE(VLOOKUP(B7,CODICI!$B:$D,2,0),Potenze!F2)</f>
        <v>heaterSteam 80 kg/h , 400Vac 3~, with regulation, Titanium version -60 kW -</v>
      </c>
      <c r="D7" s="746"/>
      <c r="E7" s="746"/>
      <c r="F7" s="746"/>
      <c r="G7" s="746"/>
      <c r="H7" s="746"/>
      <c r="I7" s="747"/>
      <c r="J7" s="203">
        <f>DESIGN!Z139</f>
        <v>1</v>
      </c>
      <c r="K7" s="740">
        <f>J7*VLOOKUP($B$7,CODICI!$B:$F,5,0)</f>
        <v>6769</v>
      </c>
      <c r="L7" s="741"/>
      <c r="O7" s="625"/>
      <c r="P7" s="625"/>
      <c r="Q7" s="625"/>
      <c r="R7" s="625"/>
      <c r="S7" s="21"/>
      <c r="T7" s="21" t="str">
        <f>LINGUA!C542</f>
        <v>With NSF Certification</v>
      </c>
      <c r="U7" s="21"/>
    </row>
    <row r="8" spans="2:21" x14ac:dyDescent="0.2">
      <c r="B8" s="41"/>
      <c r="C8" s="204"/>
      <c r="D8" s="204"/>
      <c r="E8" s="204"/>
      <c r="F8" s="204"/>
      <c r="G8" s="204"/>
      <c r="H8" s="204"/>
      <c r="I8" s="204"/>
      <c r="J8" s="252"/>
      <c r="K8" s="205"/>
      <c r="L8" s="205"/>
    </row>
    <row r="9" spans="2:21" x14ac:dyDescent="0.2">
      <c r="B9" s="55" t="str">
        <f>CONCATENATE(LINGUA!B45, "  (",DESIGN!I134,")")</f>
        <v>Steam distributor  (Chosen by the tool)</v>
      </c>
      <c r="C9" s="183"/>
      <c r="D9" s="204"/>
      <c r="E9" s="204"/>
      <c r="F9" s="204"/>
      <c r="G9" s="204"/>
      <c r="H9" s="206" t="str">
        <f>LINGUA!$B$31</f>
        <v>Do you want it? (Yes or No)?</v>
      </c>
      <c r="I9" s="132"/>
      <c r="J9" s="252"/>
      <c r="K9" s="205"/>
      <c r="L9" s="205"/>
    </row>
    <row r="10" spans="2:21" x14ac:dyDescent="0.2">
      <c r="B10" s="217" t="str">
        <f>LINGUA!$B$27</f>
        <v>Code</v>
      </c>
      <c r="C10" s="742" t="str">
        <f>LINGUA!$B$28</f>
        <v>Description</v>
      </c>
      <c r="D10" s="743"/>
      <c r="E10" s="743"/>
      <c r="F10" s="743"/>
      <c r="G10" s="743"/>
      <c r="H10" s="743"/>
      <c r="I10" s="744"/>
      <c r="J10" s="218" t="str">
        <f>LINGUA!$B$26</f>
        <v>Quantity</v>
      </c>
      <c r="K10" s="742" t="str">
        <f>LINGUA!$B$29</f>
        <v>List price</v>
      </c>
      <c r="L10" s="744"/>
    </row>
    <row r="11" spans="2:21" x14ac:dyDescent="0.2">
      <c r="B11" s="202" t="str">
        <f>IF(I9=LINGUA!$B$34,DESIGN!D120,"")</f>
        <v/>
      </c>
      <c r="C11" s="760" t="str">
        <f>IF(B11="","",IF(I9=LINGUA!$B$34,VLOOKUP($B$11,CODICI!$B:$D,2,0),""))</f>
        <v/>
      </c>
      <c r="D11" s="761"/>
      <c r="E11" s="761"/>
      <c r="F11" s="761"/>
      <c r="G11" s="761"/>
      <c r="H11" s="761"/>
      <c r="I11" s="762"/>
      <c r="J11" s="384" t="str">
        <f>IF(I9=LINGUA!$B$34,DESIGN!G120,"")</f>
        <v/>
      </c>
      <c r="K11" s="740" t="str">
        <f>IF(B11="","",J11*IF(I9=LINGUA!$B$34,VLOOKUP($B$11,CODICI!$B:$F,5,0),""))</f>
        <v/>
      </c>
      <c r="L11" s="741"/>
    </row>
    <row r="12" spans="2:21" x14ac:dyDescent="0.2">
      <c r="B12" s="399" t="str">
        <f>LINGUA!C544</f>
        <v>For short absorption distance, take into account the installation of ultimateSAM distributors</v>
      </c>
      <c r="C12" s="41"/>
      <c r="D12" s="41"/>
      <c r="E12" s="41"/>
      <c r="F12" s="41"/>
      <c r="G12" s="41"/>
      <c r="H12" s="41"/>
      <c r="I12" s="41"/>
      <c r="J12" s="54"/>
      <c r="K12" s="41"/>
      <c r="L12" s="41"/>
    </row>
    <row r="13" spans="2:21" x14ac:dyDescent="0.2">
      <c r="B13" s="41"/>
      <c r="C13" s="41"/>
      <c r="D13" s="41"/>
      <c r="E13" s="41"/>
      <c r="F13" s="41"/>
      <c r="G13" s="41"/>
      <c r="H13" s="41"/>
      <c r="I13" s="41"/>
      <c r="J13" s="54"/>
      <c r="K13" s="41"/>
      <c r="L13" s="41"/>
    </row>
    <row r="14" spans="2:21" x14ac:dyDescent="0.2">
      <c r="B14" s="55" t="str">
        <f>CONCATENATE(LINGUA!B51, "  (",DESIGN!I134,")")</f>
        <v>Y connection for steam hose  (Chosen by the tool)</v>
      </c>
      <c r="C14" s="183"/>
      <c r="D14" s="204"/>
      <c r="E14" s="204"/>
      <c r="F14" s="204"/>
      <c r="G14" s="133"/>
      <c r="H14" s="207"/>
      <c r="I14" s="208"/>
      <c r="J14" s="208"/>
      <c r="K14" s="205"/>
      <c r="L14" s="205"/>
    </row>
    <row r="15" spans="2:21" x14ac:dyDescent="0.2">
      <c r="B15" s="217" t="str">
        <f>LINGUA!$B$27</f>
        <v>Code</v>
      </c>
      <c r="C15" s="742" t="str">
        <f>LINGUA!$B$28</f>
        <v>Description</v>
      </c>
      <c r="D15" s="743"/>
      <c r="E15" s="743"/>
      <c r="F15" s="743"/>
      <c r="G15" s="743"/>
      <c r="H15" s="743"/>
      <c r="I15" s="744"/>
      <c r="J15" s="218" t="str">
        <f>LINGUA!$B$26</f>
        <v>Quantity</v>
      </c>
      <c r="K15" s="742" t="str">
        <f>LINGUA!$B$29</f>
        <v>List price</v>
      </c>
      <c r="L15" s="744"/>
    </row>
    <row r="16" spans="2:21" x14ac:dyDescent="0.2">
      <c r="B16" s="369" t="str">
        <f>IF(I9=LINGUA!$B$34,DESIGN!D131," ")</f>
        <v xml:space="preserve"> </v>
      </c>
      <c r="C16" s="745" t="str">
        <f>IF(I9=LINGUA!$B$34,IF(B16=" ","",VLOOKUP($B$16,CODICI!$B:$C,2,0)),"")</f>
        <v/>
      </c>
      <c r="D16" s="746"/>
      <c r="E16" s="746"/>
      <c r="F16" s="746"/>
      <c r="G16" s="746"/>
      <c r="H16" s="746"/>
      <c r="I16" s="747"/>
      <c r="J16" s="203" t="str">
        <f>IF(I9=LINGUA!$B$34,IF(B16&lt;&gt;" ",(DESIGN!G131*J7),""),"")</f>
        <v/>
      </c>
      <c r="K16" s="740" t="str">
        <f>IF(I9=LINGUA!$B$34,IF(B16=" "," ",J16*VLOOKUP(B16,CODICI!$B:$F,5,0)),"")</f>
        <v/>
      </c>
      <c r="L16" s="741"/>
    </row>
    <row r="17" spans="2:12" x14ac:dyDescent="0.2">
      <c r="B17" s="149"/>
      <c r="C17" s="204"/>
      <c r="D17" s="204"/>
      <c r="E17" s="204"/>
      <c r="F17" s="204"/>
      <c r="G17" s="204"/>
      <c r="H17" s="204"/>
      <c r="I17" s="204"/>
      <c r="J17" s="209"/>
      <c r="K17" s="210"/>
      <c r="L17" s="210"/>
    </row>
    <row r="18" spans="2:12" x14ac:dyDescent="0.2">
      <c r="B18" s="41"/>
      <c r="C18" s="41"/>
      <c r="D18" s="41"/>
      <c r="E18" s="41"/>
      <c r="F18" s="41"/>
      <c r="G18" s="41"/>
      <c r="H18" s="41"/>
      <c r="I18" s="41"/>
      <c r="J18" s="54"/>
      <c r="K18" s="41"/>
      <c r="L18" s="41"/>
    </row>
    <row r="19" spans="2:12" x14ac:dyDescent="0.2">
      <c r="B19" s="55" t="str">
        <f>LINGUA!B46</f>
        <v>Steam hose</v>
      </c>
      <c r="C19" s="183"/>
      <c r="D19" s="204"/>
      <c r="E19" s="204"/>
      <c r="F19" s="204"/>
      <c r="G19" s="204"/>
      <c r="H19" s="206" t="str">
        <f>LINGUA!$B$31</f>
        <v>Do you want it? (Yes or No)?</v>
      </c>
      <c r="I19" s="132"/>
      <c r="J19" s="252"/>
      <c r="K19" s="205"/>
      <c r="L19" s="205"/>
    </row>
    <row r="20" spans="2:12" x14ac:dyDescent="0.2">
      <c r="B20" s="217" t="str">
        <f>LINGUA!$B$27</f>
        <v>Code</v>
      </c>
      <c r="C20" s="742" t="str">
        <f>LINGUA!$B$28</f>
        <v>Description</v>
      </c>
      <c r="D20" s="743"/>
      <c r="E20" s="743"/>
      <c r="F20" s="743"/>
      <c r="G20" s="743"/>
      <c r="H20" s="743"/>
      <c r="I20" s="744"/>
      <c r="J20" s="218"/>
      <c r="K20" s="742" t="str">
        <f>LINGUA!$B$29</f>
        <v>List price</v>
      </c>
      <c r="L20" s="744"/>
    </row>
    <row r="21" spans="2:12" x14ac:dyDescent="0.2">
      <c r="B21" s="202" t="str">
        <f>IF(I19=LINGUA!$B$34,DESIGN!V148,"")</f>
        <v/>
      </c>
      <c r="C21" s="745" t="str">
        <f>IF(I19=LINGUA!$B$34,VLOOKUP($B$21,CODICI!$B:$D,2,0),"")</f>
        <v/>
      </c>
      <c r="D21" s="746"/>
      <c r="E21" s="746"/>
      <c r="F21" s="746"/>
      <c r="G21" s="746"/>
      <c r="H21" s="746"/>
      <c r="I21" s="747"/>
      <c r="J21" s="211"/>
      <c r="K21" s="740" t="str">
        <f>IF(I19=LINGUA!$B$34,J21*VLOOKUP($B$21,CODICI!$B:$F,5,0),"")</f>
        <v/>
      </c>
      <c r="L21" s="741"/>
    </row>
    <row r="22" spans="2:12" x14ac:dyDescent="0.2">
      <c r="B22" s="183"/>
      <c r="C22" s="41"/>
      <c r="D22" s="41"/>
      <c r="E22" s="41"/>
      <c r="F22" s="41"/>
      <c r="G22" s="41"/>
      <c r="H22" s="41"/>
      <c r="I22" s="41"/>
      <c r="J22" s="54"/>
      <c r="K22" s="41"/>
      <c r="L22" s="41"/>
    </row>
    <row r="23" spans="2:12" x14ac:dyDescent="0.2">
      <c r="B23" s="41"/>
      <c r="C23" s="41"/>
      <c r="D23" s="41"/>
      <c r="E23" s="41"/>
      <c r="F23" s="41"/>
      <c r="G23" s="41"/>
      <c r="H23" s="41"/>
      <c r="I23" s="41"/>
      <c r="J23" s="54"/>
      <c r="K23" s="41"/>
      <c r="L23" s="41"/>
    </row>
    <row r="24" spans="2:12" x14ac:dyDescent="0.2">
      <c r="B24" s="55" t="str">
        <f>LINGUA!B47</f>
        <v>Drain hose</v>
      </c>
      <c r="C24" s="183"/>
      <c r="D24" s="204"/>
      <c r="E24" s="204"/>
      <c r="F24" s="204"/>
      <c r="G24" s="204"/>
      <c r="H24" s="206" t="str">
        <f>LINGUA!$B$31</f>
        <v>Do you want it? (Yes or No)?</v>
      </c>
      <c r="I24" s="132"/>
      <c r="J24" s="252"/>
      <c r="K24" s="205"/>
      <c r="L24" s="205"/>
    </row>
    <row r="25" spans="2:12" x14ac:dyDescent="0.2">
      <c r="B25" s="217" t="str">
        <f>LINGUA!$B$27</f>
        <v>Code</v>
      </c>
      <c r="C25" s="742" t="str">
        <f>LINGUA!$B$28</f>
        <v>Description</v>
      </c>
      <c r="D25" s="743"/>
      <c r="E25" s="743"/>
      <c r="F25" s="743"/>
      <c r="G25" s="743"/>
      <c r="H25" s="743"/>
      <c r="I25" s="744"/>
      <c r="J25" s="218"/>
      <c r="K25" s="742" t="str">
        <f>LINGUA!$B$29</f>
        <v>List price</v>
      </c>
      <c r="L25" s="744"/>
    </row>
    <row r="26" spans="2:12" x14ac:dyDescent="0.2">
      <c r="B26" s="202" t="str">
        <f>IF(I24=LINGUA!$B$34,DESIGN!W152,"")</f>
        <v/>
      </c>
      <c r="C26" s="745" t="str">
        <f>IF(I24=LINGUA!$B$34,VLOOKUP(B26,CODICI!$B:$D,2,0),"")</f>
        <v/>
      </c>
      <c r="D26" s="746"/>
      <c r="E26" s="746"/>
      <c r="F26" s="746"/>
      <c r="G26" s="746"/>
      <c r="H26" s="746"/>
      <c r="I26" s="747"/>
      <c r="J26" s="211"/>
      <c r="K26" s="740" t="str">
        <f>IF(I24=LINGUA!$B$34,J26*VLOOKUP(B26,CODICI!$B:$F,5,0),"")</f>
        <v/>
      </c>
      <c r="L26" s="741"/>
    </row>
    <row r="27" spans="2:12" x14ac:dyDescent="0.2">
      <c r="B27" s="41"/>
      <c r="C27" s="204"/>
      <c r="D27" s="204"/>
      <c r="E27" s="204"/>
      <c r="F27" s="204"/>
      <c r="G27" s="204"/>
      <c r="H27" s="204"/>
      <c r="I27" s="204"/>
      <c r="J27" s="212"/>
      <c r="K27" s="210"/>
      <c r="L27" s="210"/>
    </row>
    <row r="28" spans="2:12" x14ac:dyDescent="0.2">
      <c r="B28" s="41"/>
      <c r="C28" s="204"/>
      <c r="D28" s="204"/>
      <c r="E28" s="204"/>
      <c r="F28" s="204"/>
      <c r="G28" s="204"/>
      <c r="H28" s="204"/>
      <c r="I28" s="204"/>
      <c r="J28" s="212"/>
      <c r="K28" s="210"/>
      <c r="L28" s="210"/>
    </row>
    <row r="29" spans="2:12" x14ac:dyDescent="0.2">
      <c r="B29" s="213" t="str">
        <f>LINGUA!B25</f>
        <v>Active probe for ducts</v>
      </c>
      <c r="C29" s="183"/>
      <c r="D29" s="204"/>
      <c r="E29" s="204"/>
      <c r="F29" s="204"/>
      <c r="G29" s="204"/>
      <c r="H29" s="204"/>
      <c r="I29" s="204"/>
      <c r="J29" s="252"/>
      <c r="K29" s="214"/>
      <c r="L29" s="214"/>
    </row>
    <row r="30" spans="2:12" x14ac:dyDescent="0.2">
      <c r="B30" s="217" t="str">
        <f>LINGUA!$B$27</f>
        <v>Code</v>
      </c>
      <c r="C30" s="742" t="str">
        <f>LINGUA!$B$28</f>
        <v>Description</v>
      </c>
      <c r="D30" s="743"/>
      <c r="E30" s="743"/>
      <c r="F30" s="743"/>
      <c r="G30" s="743"/>
      <c r="H30" s="743"/>
      <c r="I30" s="744"/>
      <c r="J30" s="218"/>
      <c r="K30" s="742" t="str">
        <f>LINGUA!$B$29</f>
        <v>List price</v>
      </c>
      <c r="L30" s="744"/>
    </row>
    <row r="31" spans="2:12" x14ac:dyDescent="0.2">
      <c r="B31" s="202" t="str">
        <f>DESIGN!U157</f>
        <v>DPWC112000</v>
      </c>
      <c r="C31" s="745" t="str">
        <f>VLOOKUP($B31,CODICI!$B:$D,2,0)</f>
        <v>Active wall mounting sensor: Temperature (-10T60 °C) and humidity (10 to 90% rH)</v>
      </c>
      <c r="D31" s="746"/>
      <c r="E31" s="746"/>
      <c r="F31" s="746"/>
      <c r="G31" s="746"/>
      <c r="H31" s="746"/>
      <c r="I31" s="747"/>
      <c r="J31" s="211"/>
      <c r="K31" s="740">
        <f>J31*VLOOKUP($B31,CODICI!$B:$F,5,0)</f>
        <v>0</v>
      </c>
      <c r="L31" s="741"/>
    </row>
    <row r="32" spans="2:12" x14ac:dyDescent="0.2">
      <c r="B32" s="202" t="str">
        <f>DESIGN!U158</f>
        <v>DPPC112000</v>
      </c>
      <c r="C32" s="745" t="str">
        <f>VLOOKUP($B32,CODICI!$B:$D,2,0)</f>
        <v>Active sensor for industrial environments: Temperature (-20T70 °C) and humidity (10 to 90% rH)</v>
      </c>
      <c r="D32" s="746"/>
      <c r="E32" s="746"/>
      <c r="F32" s="746"/>
      <c r="G32" s="746"/>
      <c r="H32" s="746"/>
      <c r="I32" s="747"/>
      <c r="J32" s="211"/>
      <c r="K32" s="740">
        <f>J32*VLOOKUP($B32,CODICI!$B:$F,5,0)</f>
        <v>0</v>
      </c>
      <c r="L32" s="741"/>
    </row>
    <row r="33" spans="2:17" x14ac:dyDescent="0.2">
      <c r="B33" s="202" t="str">
        <f>DESIGN!U159</f>
        <v>DPPC212000</v>
      </c>
      <c r="C33" s="745" t="str">
        <f>VLOOKUP($B33,CODICI!$B:$D,2,0)</f>
        <v>Active sensor for industrial environments: Temperature (-20T70 °C) and humidity (0 to 100% rH)</v>
      </c>
      <c r="D33" s="746"/>
      <c r="E33" s="746"/>
      <c r="F33" s="746"/>
      <c r="G33" s="746"/>
      <c r="H33" s="746"/>
      <c r="I33" s="747"/>
      <c r="J33" s="211"/>
      <c r="K33" s="740">
        <f>J33*VLOOKUP($B33,CODICI!$B:$F,5,0)</f>
        <v>0</v>
      </c>
      <c r="L33" s="741"/>
    </row>
    <row r="34" spans="2:17" x14ac:dyDescent="0.2">
      <c r="B34" s="202" t="str">
        <f>DESIGN!U160</f>
        <v>DPDC112000</v>
      </c>
      <c r="C34" s="745" t="str">
        <f>VLOOKUP($B34,CODICI!$B:$D,2,0)</f>
        <v>Active sensor for ducts: Temperature (-20T70 °C) and humidity (10 to 90% rH)</v>
      </c>
      <c r="D34" s="746"/>
      <c r="E34" s="746"/>
      <c r="F34" s="746"/>
      <c r="G34" s="746"/>
      <c r="H34" s="746"/>
      <c r="I34" s="747"/>
      <c r="J34" s="211"/>
      <c r="K34" s="740">
        <f>J34*VLOOKUP($B34,CODICI!$B:$F,5,0)</f>
        <v>0</v>
      </c>
      <c r="L34" s="741"/>
    </row>
    <row r="35" spans="2:17" x14ac:dyDescent="0.2">
      <c r="B35" s="202" t="str">
        <f>DESIGN!U161</f>
        <v>DPDC212000</v>
      </c>
      <c r="C35" s="745" t="str">
        <f>VLOOKUP($B35,CODICI!$B:$D,2,0)</f>
        <v>Active sensor for ducts: Temperature (-20T70 °C) and humidity (0 to 100% rH)</v>
      </c>
      <c r="D35" s="746"/>
      <c r="E35" s="746"/>
      <c r="F35" s="746"/>
      <c r="G35" s="746"/>
      <c r="H35" s="746"/>
      <c r="I35" s="747"/>
      <c r="J35" s="211"/>
      <c r="K35" s="740">
        <f>J35*VLOOKUP($B35,CODICI!$B:$F,5,0)</f>
        <v>0</v>
      </c>
      <c r="L35" s="741"/>
    </row>
    <row r="36" spans="2:17" x14ac:dyDescent="0.2">
      <c r="B36" s="202" t="str">
        <f>DESIGN!U162</f>
        <v>ASET030001</v>
      </c>
      <c r="C36" s="745" t="str">
        <f>VLOOKUP($B36,CODICI!$B:$D,2,0)</f>
        <v>Temperature probe (-30T90 °C) for universal use</v>
      </c>
      <c r="D36" s="746"/>
      <c r="E36" s="746"/>
      <c r="F36" s="746"/>
      <c r="G36" s="746"/>
      <c r="H36" s="746"/>
      <c r="I36" s="747"/>
      <c r="J36" s="211"/>
      <c r="K36" s="740">
        <f>J36*VLOOKUP($B36,CODICI!$B:$F,5,0)</f>
        <v>0</v>
      </c>
      <c r="L36" s="741"/>
    </row>
    <row r="37" spans="2:17" x14ac:dyDescent="0.2">
      <c r="B37" s="41"/>
      <c r="C37" s="204"/>
      <c r="D37" s="204"/>
      <c r="E37" s="204"/>
      <c r="F37" s="204"/>
      <c r="G37" s="204"/>
      <c r="H37" s="204"/>
      <c r="I37" s="204"/>
      <c r="J37" s="204"/>
      <c r="K37" s="214"/>
      <c r="L37" s="214"/>
      <c r="N37" s="626"/>
      <c r="O37" s="626"/>
      <c r="P37" s="626"/>
      <c r="Q37" s="626"/>
    </row>
    <row r="38" spans="2:17" x14ac:dyDescent="0.2">
      <c r="N38" s="626"/>
      <c r="P38" s="626"/>
      <c r="Q38" s="626"/>
    </row>
    <row r="39" spans="2:17" x14ac:dyDescent="0.2">
      <c r="B39" s="311" t="str">
        <f>LINGUA!C522</f>
        <v>WTS revers osmosis system</v>
      </c>
      <c r="H39" s="299" t="str">
        <f>LINGUA!$B$31</f>
        <v>Do you want it? (Yes or No)?</v>
      </c>
      <c r="I39" s="132"/>
      <c r="M39" s="626"/>
      <c r="O39" s="33" t="s">
        <v>609</v>
      </c>
      <c r="P39" s="626"/>
      <c r="Q39" s="626"/>
    </row>
    <row r="40" spans="2:17" x14ac:dyDescent="0.2">
      <c r="B40" s="217" t="str">
        <f>LINGUA!$B$27</f>
        <v>Code</v>
      </c>
      <c r="C40" s="742" t="str">
        <f>LINGUA!$B$28</f>
        <v>Description</v>
      </c>
      <c r="D40" s="743"/>
      <c r="E40" s="743"/>
      <c r="F40" s="743"/>
      <c r="G40" s="743"/>
      <c r="H40" s="743"/>
      <c r="I40" s="744"/>
      <c r="J40" s="218" t="str">
        <f>LINGUA!$B$26</f>
        <v>Quantity</v>
      </c>
      <c r="K40" s="742"/>
      <c r="L40" s="744"/>
      <c r="M40" s="626"/>
      <c r="N40" s="33" t="str">
        <f>MID(B7,1,2)</f>
        <v>UR</v>
      </c>
      <c r="O40" s="33" t="s">
        <v>610</v>
      </c>
      <c r="P40" s="626"/>
      <c r="Q40" s="626"/>
    </row>
    <row r="41" spans="2:17" x14ac:dyDescent="0.2">
      <c r="B41" s="202" t="str">
        <f>IF(I39=LINGUA!$B$34,IF(N40="UG",VLOOKUP(B7,Commissioning!H27:J32,3,0),IF(I41=Commissioning!G2,VLOOKUP(Commissioning!F22,Commissioning!H2:J12,3,0),(VLOOKUP(Commissioning!F22,Commissioning!H13:J23,3,0)))),"")</f>
        <v/>
      </c>
      <c r="C41" s="763" t="str">
        <f>IF(I39=LINGUA!$B$34,VLOOKUP(B41,Commissioning!J2:K32,2,0)," ")</f>
        <v xml:space="preserve"> </v>
      </c>
      <c r="D41" s="764"/>
      <c r="E41" s="764"/>
      <c r="F41" s="764"/>
      <c r="G41" s="764"/>
      <c r="H41" s="319" t="str">
        <f>IF(N40=O39,LINGUA!C530," ")</f>
        <v>grid frequency</v>
      </c>
      <c r="I41" s="132" t="s">
        <v>2813</v>
      </c>
      <c r="J41" s="211">
        <v>1</v>
      </c>
      <c r="K41" s="740" t="str">
        <f>IF(N40=O41,"",IF(I39=LINGUA!$B$34,J41*VLOOKUP(B41,CODICI!$B:$F,5,0)," "))</f>
        <v xml:space="preserve"> </v>
      </c>
      <c r="L41" s="741"/>
      <c r="O41" s="33" t="s">
        <v>2769</v>
      </c>
      <c r="P41" s="626"/>
      <c r="Q41" s="626"/>
    </row>
    <row r="42" spans="2:17" x14ac:dyDescent="0.2">
      <c r="B42" s="202" t="str">
        <f>IF(I39=LINGUA!$B$34,IF(N40="UG",VLOOKUP(B7,Commissioning!H27:L32,5,0),IF(I41=Commissioning!G2,VLOOKUP(Commissioning!F22,Commissioning!H2:L12,5,0),(VLOOKUP(Commissioning!F22,Commissioning!H13:L23,5,0)))),"")</f>
        <v/>
      </c>
      <c r="C42" s="745" t="str">
        <f>IF(I39=LINGUA!$B$34,VLOOKUP(B42,LINGUA!B523:C543,2,0), "  ")</f>
        <v xml:space="preserve">  </v>
      </c>
      <c r="D42" s="746"/>
      <c r="E42" s="746"/>
      <c r="F42" s="746"/>
      <c r="G42" s="746"/>
      <c r="H42" s="746"/>
      <c r="I42" s="747"/>
      <c r="J42" s="211">
        <v>1</v>
      </c>
      <c r="K42" s="740" t="str">
        <f>(IF(N40=O41,"",IF(I39=LINGUA!$B$34,J42*VLOOKUP(B42,CODICI!B444:F455,5,0)," ")))</f>
        <v xml:space="preserve"> </v>
      </c>
      <c r="L42" s="741"/>
      <c r="P42" s="626"/>
      <c r="Q42" s="626"/>
    </row>
    <row r="43" spans="2:17" x14ac:dyDescent="0.2">
      <c r="B43" s="202" t="str">
        <f>IF(I39=LINGUA!$B$34,IF(H43=T6,LINGUA!B539,LINGUA!B540), "")</f>
        <v/>
      </c>
      <c r="C43" s="763" t="str">
        <f>IF(I39=LINGUA!$B$34,VLOOKUP(B43,LINGUA!B523:C543,2,0), "  ")</f>
        <v xml:space="preserve">  </v>
      </c>
      <c r="D43" s="764"/>
      <c r="E43" s="764"/>
      <c r="F43" s="764"/>
      <c r="G43" s="765"/>
      <c r="H43" s="698" t="s">
        <v>2822</v>
      </c>
      <c r="I43" s="699"/>
      <c r="J43" s="211">
        <v>1</v>
      </c>
      <c r="K43" s="740" t="str">
        <f>IF(N40=O41,"",IF(I39=LINGUA!$B$34,J43*VLOOKUP(B43,CODICI!B445:F460,5,0)," "))</f>
        <v xml:space="preserve"> </v>
      </c>
      <c r="L43" s="741"/>
    </row>
    <row r="44" spans="2:17" x14ac:dyDescent="0.2">
      <c r="B44" s="41"/>
      <c r="C44" s="41"/>
      <c r="D44" s="41"/>
      <c r="E44" s="41"/>
      <c r="F44" s="41"/>
      <c r="G44" s="41"/>
      <c r="H44" s="41"/>
      <c r="I44" s="41"/>
      <c r="J44" s="41"/>
      <c r="K44" s="205"/>
      <c r="L44" s="205"/>
    </row>
    <row r="45" spans="2:17" x14ac:dyDescent="0.2">
      <c r="B45" s="41"/>
      <c r="C45" s="41"/>
      <c r="D45" s="41"/>
      <c r="E45" s="41"/>
      <c r="F45" s="41"/>
      <c r="G45" s="41"/>
      <c r="H45" s="41"/>
      <c r="I45" s="41"/>
      <c r="J45" s="41"/>
      <c r="K45" s="41"/>
      <c r="L45" s="41"/>
    </row>
    <row r="46" spans="2:17" x14ac:dyDescent="0.2">
      <c r="B46" s="215" t="str">
        <f>LINGUA!C562</f>
        <v>Currency</v>
      </c>
      <c r="C46" s="670" t="s">
        <v>3518</v>
      </c>
      <c r="D46" s="41"/>
      <c r="E46" s="41"/>
      <c r="F46" s="41"/>
      <c r="G46" s="671"/>
      <c r="H46" s="41"/>
      <c r="J46" s="215" t="str">
        <f>LINGUA!B36</f>
        <v>Discount</v>
      </c>
      <c r="K46" s="216">
        <v>0</v>
      </c>
      <c r="L46" s="41"/>
    </row>
    <row r="47" spans="2:17" x14ac:dyDescent="0.2">
      <c r="B47" s="41"/>
      <c r="C47" s="313" t="str">
        <f>IF(C46="Eur","€",IF(C46="GBP","£","$"))</f>
        <v>€</v>
      </c>
      <c r="D47" s="41"/>
      <c r="E47" s="41"/>
      <c r="F47" s="41"/>
      <c r="G47" s="671"/>
      <c r="H47" s="41"/>
      <c r="I47" s="41"/>
      <c r="J47" s="41"/>
      <c r="K47" s="41"/>
      <c r="L47" s="41"/>
    </row>
    <row r="48" spans="2:17" x14ac:dyDescent="0.2">
      <c r="B48" s="215" t="str">
        <f>LINGUA!C563</f>
        <v>Exchange rate</v>
      </c>
      <c r="C48" s="675">
        <f>VLOOKUP(C46,Currencies!$A:$B,2,FALSE)</f>
        <v>0</v>
      </c>
      <c r="D48" s="672" t="s">
        <v>3521</v>
      </c>
      <c r="E48" s="673" t="str">
        <f>C46</f>
        <v>Eur</v>
      </c>
      <c r="F48" s="41"/>
      <c r="G48" s="41"/>
      <c r="H48" s="41"/>
      <c r="I48" s="41"/>
      <c r="J48" s="41"/>
      <c r="K48" s="41"/>
      <c r="L48" s="41"/>
    </row>
    <row r="49" spans="1:16" x14ac:dyDescent="0.2">
      <c r="B49" s="41"/>
      <c r="C49" s="41"/>
      <c r="D49" s="41"/>
      <c r="E49" s="41"/>
      <c r="F49" s="41"/>
      <c r="G49" s="41"/>
      <c r="H49" s="41"/>
      <c r="I49" s="742" t="str">
        <f>LINGUA!C763</f>
        <v>Total</v>
      </c>
      <c r="J49" s="744"/>
      <c r="K49" s="740">
        <f>SUM(K7,K11,K21,K26,K31,K32,K33,K34,K16,K35,K36,K41,K42,K43)*(1-K46)</f>
        <v>6769</v>
      </c>
      <c r="L49" s="741"/>
      <c r="O49" s="739"/>
      <c r="P49" s="739"/>
    </row>
    <row r="52" spans="1:16" x14ac:dyDescent="0.2">
      <c r="B52" s="757" t="str">
        <f>LINGUA!C546</f>
        <v>Note:</v>
      </c>
      <c r="C52" s="758"/>
      <c r="D52" s="758"/>
      <c r="E52" s="758"/>
      <c r="F52" s="758"/>
      <c r="G52" s="758"/>
      <c r="H52" s="758"/>
      <c r="I52" s="758"/>
      <c r="J52" s="758"/>
      <c r="K52" s="758"/>
      <c r="L52" s="759"/>
    </row>
    <row r="53" spans="1:16" x14ac:dyDescent="0.2">
      <c r="B53" s="748"/>
      <c r="C53" s="749"/>
      <c r="D53" s="749"/>
      <c r="E53" s="749"/>
      <c r="F53" s="749"/>
      <c r="G53" s="749"/>
      <c r="H53" s="749"/>
      <c r="I53" s="749"/>
      <c r="J53" s="749"/>
      <c r="K53" s="749"/>
      <c r="L53" s="750"/>
    </row>
    <row r="54" spans="1:16" x14ac:dyDescent="0.2">
      <c r="A54" s="309"/>
      <c r="B54" s="751"/>
      <c r="C54" s="752"/>
      <c r="D54" s="752"/>
      <c r="E54" s="752"/>
      <c r="F54" s="752"/>
      <c r="G54" s="752"/>
      <c r="H54" s="752"/>
      <c r="I54" s="752"/>
      <c r="J54" s="752"/>
      <c r="K54" s="752"/>
      <c r="L54" s="753"/>
    </row>
    <row r="55" spans="1:16" x14ac:dyDescent="0.2">
      <c r="A55" s="309"/>
      <c r="B55" s="751"/>
      <c r="C55" s="752"/>
      <c r="D55" s="752"/>
      <c r="E55" s="752"/>
      <c r="F55" s="752"/>
      <c r="G55" s="752"/>
      <c r="H55" s="752"/>
      <c r="I55" s="752"/>
      <c r="J55" s="752"/>
      <c r="K55" s="752"/>
      <c r="L55" s="753"/>
    </row>
    <row r="56" spans="1:16" x14ac:dyDescent="0.2">
      <c r="A56" s="309"/>
      <c r="B56" s="751"/>
      <c r="C56" s="752"/>
      <c r="D56" s="752"/>
      <c r="E56" s="752"/>
      <c r="F56" s="752"/>
      <c r="G56" s="752"/>
      <c r="H56" s="752"/>
      <c r="I56" s="752"/>
      <c r="J56" s="752"/>
      <c r="K56" s="752"/>
      <c r="L56" s="753"/>
    </row>
    <row r="57" spans="1:16" x14ac:dyDescent="0.2">
      <c r="A57" s="309"/>
      <c r="B57" s="751"/>
      <c r="C57" s="752"/>
      <c r="D57" s="752"/>
      <c r="E57" s="752"/>
      <c r="F57" s="752"/>
      <c r="G57" s="752"/>
      <c r="H57" s="752"/>
      <c r="I57" s="752"/>
      <c r="J57" s="752"/>
      <c r="K57" s="752"/>
      <c r="L57" s="753"/>
    </row>
    <row r="58" spans="1:16" x14ac:dyDescent="0.2">
      <c r="A58" s="309"/>
      <c r="B58" s="751"/>
      <c r="C58" s="752"/>
      <c r="D58" s="752"/>
      <c r="E58" s="752"/>
      <c r="F58" s="752"/>
      <c r="G58" s="752"/>
      <c r="H58" s="752"/>
      <c r="I58" s="752"/>
      <c r="J58" s="752"/>
      <c r="K58" s="752"/>
      <c r="L58" s="753"/>
    </row>
    <row r="59" spans="1:16" x14ac:dyDescent="0.2">
      <c r="A59" s="309"/>
      <c r="B59" s="751"/>
      <c r="C59" s="752"/>
      <c r="D59" s="752"/>
      <c r="E59" s="752"/>
      <c r="F59" s="752"/>
      <c r="G59" s="752"/>
      <c r="H59" s="752"/>
      <c r="I59" s="752"/>
      <c r="J59" s="752"/>
      <c r="K59" s="752"/>
      <c r="L59" s="753"/>
    </row>
    <row r="60" spans="1:16" x14ac:dyDescent="0.2">
      <c r="A60" s="309"/>
      <c r="B60" s="751"/>
      <c r="C60" s="752"/>
      <c r="D60" s="752"/>
      <c r="E60" s="752"/>
      <c r="F60" s="752"/>
      <c r="G60" s="752"/>
      <c r="H60" s="752"/>
      <c r="I60" s="752"/>
      <c r="J60" s="752"/>
      <c r="K60" s="752"/>
      <c r="L60" s="753"/>
    </row>
    <row r="61" spans="1:16" x14ac:dyDescent="0.2">
      <c r="A61" s="309"/>
      <c r="B61" s="751"/>
      <c r="C61" s="752"/>
      <c r="D61" s="752"/>
      <c r="E61" s="752"/>
      <c r="F61" s="752"/>
      <c r="G61" s="752"/>
      <c r="H61" s="752"/>
      <c r="I61" s="752"/>
      <c r="J61" s="752"/>
      <c r="K61" s="752"/>
      <c r="L61" s="753"/>
    </row>
    <row r="62" spans="1:16" x14ac:dyDescent="0.2">
      <c r="A62" s="309"/>
      <c r="B62" s="751"/>
      <c r="C62" s="752"/>
      <c r="D62" s="752"/>
      <c r="E62" s="752"/>
      <c r="F62" s="752"/>
      <c r="G62" s="752"/>
      <c r="H62" s="752"/>
      <c r="I62" s="752"/>
      <c r="J62" s="752"/>
      <c r="K62" s="752"/>
      <c r="L62" s="753"/>
    </row>
    <row r="63" spans="1:16" x14ac:dyDescent="0.2">
      <c r="A63" s="309"/>
      <c r="B63" s="754"/>
      <c r="C63" s="755"/>
      <c r="D63" s="755"/>
      <c r="E63" s="755"/>
      <c r="F63" s="755"/>
      <c r="G63" s="755"/>
      <c r="H63" s="755"/>
      <c r="I63" s="755"/>
      <c r="J63" s="755"/>
      <c r="K63" s="755"/>
      <c r="L63" s="756"/>
    </row>
    <row r="64" spans="1:16" x14ac:dyDescent="0.2">
      <c r="A64" s="309"/>
      <c r="B64" s="309"/>
      <c r="C64" s="309"/>
      <c r="D64" s="309"/>
      <c r="E64" s="309"/>
      <c r="F64" s="309"/>
      <c r="G64" s="309"/>
      <c r="H64" s="309"/>
      <c r="I64" s="309"/>
      <c r="J64" s="309"/>
      <c r="K64" s="309"/>
      <c r="L64" s="309"/>
    </row>
    <row r="65" spans="1:12" x14ac:dyDescent="0.2">
      <c r="A65" s="309"/>
      <c r="B65" s="309"/>
      <c r="C65" s="309"/>
      <c r="D65" s="309"/>
      <c r="E65" s="309"/>
      <c r="F65" s="309"/>
      <c r="G65" s="309"/>
      <c r="H65" s="309"/>
      <c r="I65" s="624"/>
      <c r="J65" s="309"/>
      <c r="K65" s="309"/>
      <c r="L65" s="309"/>
    </row>
    <row r="70" spans="1:12" x14ac:dyDescent="0.2">
      <c r="I70" s="627"/>
    </row>
  </sheetData>
  <sheetProtection password="CBAF" sheet="1" objects="1" scenarios="1" selectLockedCells="1"/>
  <dataConsolidate/>
  <mergeCells count="48">
    <mergeCell ref="I49:J49"/>
    <mergeCell ref="C43:G43"/>
    <mergeCell ref="C30:I30"/>
    <mergeCell ref="K43:L43"/>
    <mergeCell ref="H43:I43"/>
    <mergeCell ref="C33:I33"/>
    <mergeCell ref="K36:L36"/>
    <mergeCell ref="C40:I40"/>
    <mergeCell ref="C41:G41"/>
    <mergeCell ref="C34:I34"/>
    <mergeCell ref="K41:L41"/>
    <mergeCell ref="C35:I35"/>
    <mergeCell ref="C42:I42"/>
    <mergeCell ref="C36:I36"/>
    <mergeCell ref="K42:L42"/>
    <mergeCell ref="K40:L40"/>
    <mergeCell ref="B53:L63"/>
    <mergeCell ref="B52:L52"/>
    <mergeCell ref="K6:L6"/>
    <mergeCell ref="K10:L10"/>
    <mergeCell ref="K15:L15"/>
    <mergeCell ref="C25:I25"/>
    <mergeCell ref="K26:L26"/>
    <mergeCell ref="C20:I20"/>
    <mergeCell ref="C26:I26"/>
    <mergeCell ref="C11:I11"/>
    <mergeCell ref="K16:L16"/>
    <mergeCell ref="K20:L20"/>
    <mergeCell ref="K25:L25"/>
    <mergeCell ref="K34:L34"/>
    <mergeCell ref="C21:I21"/>
    <mergeCell ref="K21:L21"/>
    <mergeCell ref="O49:P49"/>
    <mergeCell ref="K49:L49"/>
    <mergeCell ref="C6:I6"/>
    <mergeCell ref="C7:I7"/>
    <mergeCell ref="C31:I31"/>
    <mergeCell ref="K11:L11"/>
    <mergeCell ref="C10:I10"/>
    <mergeCell ref="K7:L7"/>
    <mergeCell ref="K35:L35"/>
    <mergeCell ref="K32:L32"/>
    <mergeCell ref="C32:I32"/>
    <mergeCell ref="K33:L33"/>
    <mergeCell ref="C15:I15"/>
    <mergeCell ref="C16:I16"/>
    <mergeCell ref="K31:L31"/>
    <mergeCell ref="K30:L30"/>
  </mergeCells>
  <phoneticPr fontId="0" type="noConversion"/>
  <conditionalFormatting sqref="B39:L39">
    <cfRule type="expression" dxfId="21" priority="14" stopIfTrue="1">
      <formula>$N$40=$O$41</formula>
    </cfRule>
  </conditionalFormatting>
  <conditionalFormatting sqref="B40:L40 B43:C43 J43:L43 B42:L42 B41:C41 H41 J41:L41">
    <cfRule type="expression" dxfId="20" priority="11" stopIfTrue="1">
      <formula>$N$40=$O$41</formula>
    </cfRule>
  </conditionalFormatting>
  <conditionalFormatting sqref="B39:I39">
    <cfRule type="expression" dxfId="19" priority="9" stopIfTrue="1">
      <formula>$N$40=$O$41</formula>
    </cfRule>
  </conditionalFormatting>
  <conditionalFormatting sqref="I41">
    <cfRule type="expression" dxfId="18" priority="8" stopIfTrue="1">
      <formula>$N$40=$O$41</formula>
    </cfRule>
  </conditionalFormatting>
  <conditionalFormatting sqref="I41">
    <cfRule type="expression" dxfId="17" priority="7" stopIfTrue="1">
      <formula>$N$40=$O$41</formula>
    </cfRule>
  </conditionalFormatting>
  <conditionalFormatting sqref="H43">
    <cfRule type="expression" dxfId="16" priority="6" stopIfTrue="1">
      <formula>$N$40=$O$41</formula>
    </cfRule>
  </conditionalFormatting>
  <conditionalFormatting sqref="H43">
    <cfRule type="expression" dxfId="15" priority="5" stopIfTrue="1">
      <formula>$N$40=$O$41</formula>
    </cfRule>
  </conditionalFormatting>
  <conditionalFormatting sqref="B48:E48">
    <cfRule type="expression" dxfId="14" priority="4">
      <formula>$C$46="Eur"</formula>
    </cfRule>
  </conditionalFormatting>
  <conditionalFormatting sqref="K7:L7 K11:L11 K16:L16 K21:L21 K26:L26 K31:L36 K41:L43 K49:L49">
    <cfRule type="expression" dxfId="13" priority="3">
      <formula>$C$46="Eur"</formula>
    </cfRule>
  </conditionalFormatting>
  <conditionalFormatting sqref="K7:L7 K11:L11 K16:L16 K21:L21 K26:L26 K31:L36 K41:L43 K49:L49">
    <cfRule type="expression" dxfId="12" priority="2">
      <formula>$C$46="GBP"</formula>
    </cfRule>
  </conditionalFormatting>
  <conditionalFormatting sqref="K7:L7 K11:L11 K16:L16 K21:L21 K26:L26 K31:L36 K41:L43 K49:L49">
    <cfRule type="expression" dxfId="11" priority="1">
      <formula>$C$46="CNY"</formula>
    </cfRule>
  </conditionalFormatting>
  <dataValidations count="3">
    <dataValidation type="list" allowBlank="1" showInputMessage="1" showErrorMessage="1" sqref="I9 I19 I14 I24 I39">
      <formula1>SiNO</formula1>
    </dataValidation>
    <dataValidation type="list" allowBlank="1" showInputMessage="1" showErrorMessage="1" sqref="I41">
      <formula1>$T$3:$T$4</formula1>
    </dataValidation>
    <dataValidation type="list" allowBlank="1" showInputMessage="1" showErrorMessage="1" sqref="H43">
      <formula1>$T$6:$T$7</formula1>
    </dataValidation>
  </dataValidations>
  <pageMargins left="0.47" right="0.39" top="1" bottom="1" header="0.5" footer="0.5"/>
  <pageSetup paperSize="9" scale="61" orientation="portrait" r:id="rId1"/>
  <headerFooter alignWithMargins="0">
    <oddHeader>&amp;L&amp;"Arial,Grassetto"&amp;8&amp;D &amp;F</oddHeader>
    <oddFooter>&amp;L&amp;"Arial,Grassetto"&amp;8&amp;A</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Currencies!$A$1:$A$3</xm:f>
          </x14:formula1>
          <xm:sqref>C46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oglio5" enableFormatConditionsCalculation="0">
    <tabColor rgb="FF92D050"/>
    <pageSetUpPr fitToPage="1"/>
  </sheetPr>
  <dimension ref="A1:Y43"/>
  <sheetViews>
    <sheetView showGridLines="0" zoomScale="90" zoomScaleNormal="90" workbookViewId="0">
      <selection activeCell="AI20" sqref="AI20"/>
    </sheetView>
  </sheetViews>
  <sheetFormatPr defaultColWidth="8.85546875" defaultRowHeight="12.75" x14ac:dyDescent="0.2"/>
  <cols>
    <col min="1" max="1" width="3.7109375" style="8" customWidth="1"/>
    <col min="2" max="2" width="11.140625" style="8" bestFit="1" customWidth="1"/>
    <col min="3" max="3" width="10.7109375" style="8" customWidth="1"/>
    <col min="4" max="4" width="16.7109375" style="8" customWidth="1"/>
    <col min="5" max="5" width="77.28515625" style="8" customWidth="1"/>
    <col min="6" max="6" width="18.28515625" style="8" bestFit="1" customWidth="1"/>
    <col min="7" max="7" width="3.7109375" style="8" customWidth="1"/>
    <col min="8" max="8" width="10.28515625" style="8" hidden="1" customWidth="1"/>
    <col min="9" max="25" width="8.85546875" style="8" hidden="1" customWidth="1"/>
    <col min="26" max="31" width="0" style="8" hidden="1" customWidth="1"/>
    <col min="32" max="16384" width="8.85546875" style="8"/>
  </cols>
  <sheetData>
    <row r="1" spans="1:20" s="33" customFormat="1" ht="34.15" customHeight="1" x14ac:dyDescent="0.2"/>
    <row r="2" spans="1:20" s="33" customFormat="1" ht="34.15" customHeight="1" thickBot="1" x14ac:dyDescent="0.25">
      <c r="J2" s="596"/>
    </row>
    <row r="3" spans="1:20" x14ac:dyDescent="0.2">
      <c r="B3" s="775" t="str">
        <f>DESIGN!C35</f>
        <v>External Air</v>
      </c>
      <c r="C3" s="776"/>
      <c r="D3" s="777"/>
      <c r="E3" s="597" t="str">
        <f>DESIGN!C77</f>
        <v>Air flow V</v>
      </c>
      <c r="F3" s="598" t="str">
        <f>CONCATENATE(DESIGN!E77,DESIGN!F77)</f>
        <v>10000m^3/h</v>
      </c>
      <c r="J3" s="636" t="str">
        <f>MID(DESIGN!J36,1,3)</f>
        <v>2,2</v>
      </c>
    </row>
    <row r="4" spans="1:20" x14ac:dyDescent="0.2">
      <c r="B4" s="600" t="str">
        <f>CONCATENATE(DESIGN!E36*100,"%",DESIGN!F36,)</f>
        <v>90%rH</v>
      </c>
      <c r="C4" s="504" t="str">
        <f>CONCATENATE(DESIGN!E37,DESIGN!F37)</f>
        <v>-5°C</v>
      </c>
      <c r="D4" s="601" t="str">
        <f>CONCATENATE(J3,DESIGN!K36)</f>
        <v>2,2g/kg</v>
      </c>
      <c r="E4" s="602" t="str">
        <f>LINGUA!C556</f>
        <v>Humidification load</v>
      </c>
      <c r="F4" s="603" t="str">
        <f>CONCATENATE(J6," ",DESIGN!F84,)</f>
        <v>60,9 kg/h</v>
      </c>
      <c r="J4" s="599" t="str">
        <f>MID(DESIGN!E84,1,4)</f>
        <v>60,9</v>
      </c>
    </row>
    <row r="5" spans="1:20" x14ac:dyDescent="0.2">
      <c r="B5" s="778" t="str">
        <f>CONCATENATE(DESIGN!C40,":",)</f>
        <v>Air after the humidifier:</v>
      </c>
      <c r="C5" s="779"/>
      <c r="D5" s="780"/>
      <c r="E5" s="604"/>
      <c r="F5" s="605"/>
      <c r="J5" s="636" t="str">
        <f>MID(DESIGN!J41,1,3)</f>
        <v>7,2</v>
      </c>
    </row>
    <row r="6" spans="1:20" ht="13.5" thickBot="1" x14ac:dyDescent="0.25">
      <c r="B6" s="606" t="str">
        <f>CONCATENATE(DESIGN!E41*100,"%",DESIGN!F41,)</f>
        <v>50%rH</v>
      </c>
      <c r="C6" s="607" t="str">
        <f>CONCATENATE(DESIGN!E42,DESIGN!F42)</f>
        <v>20°C</v>
      </c>
      <c r="D6" s="608" t="str">
        <f>CONCATENATE(J5,DESIGN!K36)</f>
        <v>7,2g/kg</v>
      </c>
      <c r="E6" s="609"/>
      <c r="F6" s="610"/>
      <c r="J6" s="599" t="str">
        <f>MID(DESIGN!E84,1,4)</f>
        <v>60,9</v>
      </c>
    </row>
    <row r="7" spans="1:20" ht="20.45" hidden="1" customHeight="1" thickBot="1" x14ac:dyDescent="0.25">
      <c r="A7" s="46"/>
      <c r="B7" s="611"/>
      <c r="C7" s="612"/>
      <c r="D7" s="613"/>
      <c r="E7" s="614"/>
      <c r="F7" s="615"/>
      <c r="I7" s="616"/>
      <c r="J7" s="599"/>
      <c r="P7" s="616"/>
    </row>
    <row r="8" spans="1:20" ht="50.45" customHeight="1" thickBot="1" x14ac:dyDescent="0.25">
      <c r="B8" s="781" t="s">
        <v>625</v>
      </c>
      <c r="C8" s="782"/>
      <c r="D8" s="782"/>
      <c r="E8" s="782"/>
      <c r="F8" s="783"/>
      <c r="I8" s="616"/>
      <c r="J8" s="599"/>
      <c r="P8" s="616"/>
    </row>
    <row r="9" spans="1:20" x14ac:dyDescent="0.2">
      <c r="I9" s="616"/>
      <c r="P9" s="616"/>
    </row>
    <row r="10" spans="1:20" x14ac:dyDescent="0.2">
      <c r="B10" s="617" t="str">
        <f>LINGUA!B41</f>
        <v>Position</v>
      </c>
      <c r="C10" s="617" t="str">
        <f>LINGUA!B26</f>
        <v>Quantity</v>
      </c>
      <c r="D10" s="617" t="str">
        <f>LINGUA!B42</f>
        <v>Code</v>
      </c>
      <c r="E10" s="617" t="str">
        <f>LINGUA!B28</f>
        <v>Description</v>
      </c>
      <c r="F10" s="617" t="str">
        <f>LINGUA!C543</f>
        <v>Net price</v>
      </c>
      <c r="I10" s="616"/>
      <c r="J10" s="618"/>
      <c r="K10" s="618"/>
      <c r="N10" s="499"/>
      <c r="O10" s="499"/>
      <c r="P10" s="499"/>
      <c r="Q10" s="499"/>
      <c r="R10" s="499"/>
      <c r="S10" s="499"/>
      <c r="T10" s="499"/>
    </row>
    <row r="11" spans="1:20" ht="27.6" customHeight="1" x14ac:dyDescent="0.2">
      <c r="B11" s="619">
        <v>1</v>
      </c>
      <c r="C11" s="619">
        <f>IF(D11="","",SELECTION!J7)</f>
        <v>1</v>
      </c>
      <c r="D11" s="619" t="str">
        <f>SELECTION!B7</f>
        <v>UR080HL103</v>
      </c>
      <c r="E11" s="620" t="str">
        <f>IF(D11="","",SELECTION!C7)</f>
        <v>heaterSteam 80 kg/h , 400Vac 3~, with regulation, Titanium version -60 kW -</v>
      </c>
      <c r="F11" s="677">
        <f>IF(F28=TRUE,IF(D11="","",(SELECTION!K7*(1-SELECTION!K46)))," ")</f>
        <v>6769</v>
      </c>
      <c r="I11" s="616"/>
      <c r="J11" s="618"/>
      <c r="K11" s="618"/>
      <c r="N11" s="499"/>
      <c r="O11" s="499"/>
      <c r="P11" s="499">
        <f>IF(D11="","",(SELECTION!K7*(1-SELECTION!K46)))</f>
        <v>6769</v>
      </c>
      <c r="Q11" s="499"/>
      <c r="R11" s="499"/>
      <c r="S11" s="499"/>
      <c r="T11" s="499"/>
    </row>
    <row r="12" spans="1:20" ht="27.6" customHeight="1" x14ac:dyDescent="0.2">
      <c r="B12" s="619" t="str">
        <f>IF(D12="","",MAX($B$11:B11)+1)</f>
        <v/>
      </c>
      <c r="C12" s="619" t="str">
        <f>IF(D12="","",SELECTION!J11)</f>
        <v/>
      </c>
      <c r="D12" s="619" t="str">
        <f>IF(SELECTION!I9=LINGUA!$B$34,SELECTION!B11,"")</f>
        <v/>
      </c>
      <c r="E12" s="620" t="str">
        <f>IF(D12="","",SELECTION!C11)</f>
        <v/>
      </c>
      <c r="F12" s="677" t="str">
        <f>IF($F$28=TRUE,IF(D12="","",P12), " ")</f>
        <v/>
      </c>
      <c r="I12" s="616"/>
      <c r="J12" s="618"/>
      <c r="K12" s="618"/>
      <c r="N12" s="499"/>
      <c r="O12" s="499"/>
      <c r="P12" s="499" t="str">
        <f>IF(D12="","",SELECTION!K11*(1-SELECTION!$K$46))</f>
        <v/>
      </c>
      <c r="Q12" s="499"/>
      <c r="R12" s="499"/>
      <c r="S12" s="499"/>
      <c r="T12" s="499"/>
    </row>
    <row r="13" spans="1:20" ht="27" customHeight="1" x14ac:dyDescent="0.2">
      <c r="B13" s="619" t="str">
        <f>IF(D13="","",MAX($B$11:B12)+1)</f>
        <v/>
      </c>
      <c r="C13" s="619" t="str">
        <f>IF(D13="","",SELECTION!J16)</f>
        <v/>
      </c>
      <c r="D13" s="619" t="str">
        <f>IF(OR(SELECTION!B16=" ",SELECTION!J16=0),"",SELECTION!B16)</f>
        <v/>
      </c>
      <c r="E13" s="620" t="str">
        <f>IF(D13="","",SELECTION!C16)</f>
        <v/>
      </c>
      <c r="F13" s="677" t="str">
        <f>IF($F$28=TRUE,IF(D13="","",P13),"")</f>
        <v/>
      </c>
      <c r="I13" s="616"/>
      <c r="J13" s="618"/>
      <c r="K13" s="618"/>
      <c r="N13" s="499"/>
      <c r="O13" s="499"/>
      <c r="P13" s="499" t="str">
        <f>IF(D13="","",SELECTION!K16*(1-SELECTION!$K$46))</f>
        <v/>
      </c>
      <c r="Q13" s="499"/>
      <c r="R13" s="499"/>
      <c r="S13" s="499"/>
      <c r="T13" s="499"/>
    </row>
    <row r="14" spans="1:20" ht="27" customHeight="1" x14ac:dyDescent="0.2">
      <c r="B14" s="619" t="str">
        <f>IF(D14="","",MAX($B$11:B13)+1)</f>
        <v/>
      </c>
      <c r="C14" s="619" t="str">
        <f>IF(D14="","",SELECTION!J21)</f>
        <v/>
      </c>
      <c r="D14" s="619" t="str">
        <f>IF(SELECTION!I19=LINGUA!$B$34,SELECTION!B21,"")</f>
        <v/>
      </c>
      <c r="E14" s="620" t="str">
        <f>IF(D14="","",SELECTION!C21)</f>
        <v/>
      </c>
      <c r="F14" s="677" t="str">
        <f t="shared" ref="F14:F24" si="0">IF($F$28=TRUE,IF(D14="","",P14), " ")</f>
        <v/>
      </c>
      <c r="I14" s="616"/>
      <c r="J14" s="618"/>
      <c r="K14" s="618"/>
      <c r="N14" s="499"/>
      <c r="O14" s="499"/>
      <c r="P14" s="8" t="str">
        <f>IF(D14="","",SELECTION!K21*(1-SELECTION!$K$46))</f>
        <v/>
      </c>
      <c r="Q14" s="499"/>
      <c r="R14" s="499"/>
      <c r="S14" s="499"/>
      <c r="T14" s="499"/>
    </row>
    <row r="15" spans="1:20" ht="27" customHeight="1" x14ac:dyDescent="0.2">
      <c r="B15" s="619" t="str">
        <f>IF(D15="","",MAX($B$11:B14)+1)</f>
        <v/>
      </c>
      <c r="C15" s="619" t="str">
        <f>IF(D15="","",SELECTION!J26)</f>
        <v/>
      </c>
      <c r="D15" s="619" t="str">
        <f>IF(SELECTION!I24=LINGUA!$B$34,SELECTION!B26,"")</f>
        <v/>
      </c>
      <c r="E15" s="620" t="str">
        <f>IF(D15="","",SELECTION!C26)</f>
        <v/>
      </c>
      <c r="F15" s="677" t="str">
        <f t="shared" si="0"/>
        <v/>
      </c>
      <c r="I15" s="616"/>
      <c r="J15" s="618"/>
      <c r="K15" s="618"/>
      <c r="N15" s="499"/>
      <c r="O15" s="499"/>
      <c r="P15" s="499" t="str">
        <f>IF(D15="","",SELECTION!K26*(1-SELECTION!$K$46))</f>
        <v/>
      </c>
      <c r="Q15" s="499"/>
      <c r="R15" s="499"/>
      <c r="S15" s="499"/>
      <c r="T15" s="499"/>
    </row>
    <row r="16" spans="1:20" ht="27" customHeight="1" x14ac:dyDescent="0.2">
      <c r="B16" s="619" t="str">
        <f>IF(D16="","",MAX($B$11:B15)+1)</f>
        <v/>
      </c>
      <c r="C16" s="619" t="str">
        <f>IF(D16="","",SELECTION!J31)</f>
        <v/>
      </c>
      <c r="D16" s="619" t="str">
        <f>IF(SELECTION!J31=0,"",SELECTION!B31)</f>
        <v/>
      </c>
      <c r="E16" s="620" t="str">
        <f>IF(D16="","",SELECTION!C31)</f>
        <v/>
      </c>
      <c r="F16" s="677" t="str">
        <f t="shared" si="0"/>
        <v/>
      </c>
      <c r="I16" s="616"/>
      <c r="J16" s="618"/>
      <c r="K16" s="618"/>
      <c r="N16" s="499"/>
      <c r="O16" s="499"/>
      <c r="P16" s="499" t="str">
        <f>IF(D16="","",SELECTION!K31*(1-SELECTION!$K$46))</f>
        <v/>
      </c>
      <c r="Q16" s="499"/>
      <c r="R16" s="499"/>
      <c r="S16" s="499"/>
      <c r="T16" s="499"/>
    </row>
    <row r="17" spans="2:20" ht="27" customHeight="1" x14ac:dyDescent="0.2">
      <c r="B17" s="619" t="str">
        <f>IF(D17="","",MAX($B$11:B16)+1)</f>
        <v/>
      </c>
      <c r="C17" s="619" t="str">
        <f>IF(D17="","",SELECTION!J32)</f>
        <v/>
      </c>
      <c r="D17" s="619" t="str">
        <f>IF(SELECTION!J32=0,"",SELECTION!B32)</f>
        <v/>
      </c>
      <c r="E17" s="620" t="str">
        <f>IF(D17="","",SELECTION!C32)</f>
        <v/>
      </c>
      <c r="F17" s="677" t="str">
        <f t="shared" si="0"/>
        <v/>
      </c>
      <c r="I17" s="616"/>
      <c r="J17" s="618"/>
      <c r="K17" s="618"/>
      <c r="N17" s="499"/>
      <c r="O17" s="499"/>
      <c r="P17" s="499" t="str">
        <f>IF(D17="","",SELECTION!K32*(1-SELECTION!$K$46))</f>
        <v/>
      </c>
      <c r="Q17" s="499"/>
      <c r="R17" s="499"/>
      <c r="S17" s="499"/>
      <c r="T17" s="499"/>
    </row>
    <row r="18" spans="2:20" ht="27" customHeight="1" x14ac:dyDescent="0.2">
      <c r="B18" s="619" t="str">
        <f>IF(D18="","",MAX($B$11:B17)+1)</f>
        <v/>
      </c>
      <c r="C18" s="619" t="str">
        <f>IF(D18="","",SELECTION!J33)</f>
        <v/>
      </c>
      <c r="D18" s="619" t="str">
        <f>IF(SELECTION!J33=0,"",SELECTION!B33)</f>
        <v/>
      </c>
      <c r="E18" s="620" t="str">
        <f>IF(D18="","",SELECTION!C33)</f>
        <v/>
      </c>
      <c r="F18" s="677" t="str">
        <f t="shared" si="0"/>
        <v/>
      </c>
      <c r="I18" s="616"/>
      <c r="J18" s="618"/>
      <c r="K18" s="618"/>
      <c r="N18" s="499"/>
      <c r="O18" s="499"/>
      <c r="P18" s="499" t="str">
        <f>IF(D18="","",SELECTION!K33*(1-SELECTION!$K$46))</f>
        <v/>
      </c>
      <c r="Q18" s="499"/>
      <c r="R18" s="499"/>
      <c r="S18" s="499"/>
      <c r="T18" s="499"/>
    </row>
    <row r="19" spans="2:20" ht="27" customHeight="1" x14ac:dyDescent="0.2">
      <c r="B19" s="619" t="str">
        <f>IF(D19="","",MAX($B$11:B18)+1)</f>
        <v/>
      </c>
      <c r="C19" s="619" t="str">
        <f>IF(D19="","",SELECTION!J34)</f>
        <v/>
      </c>
      <c r="D19" s="619" t="str">
        <f>IF(SELECTION!J34=0,"",SELECTION!B34)</f>
        <v/>
      </c>
      <c r="E19" s="620" t="str">
        <f>IF(D19="","",SELECTION!C34)</f>
        <v/>
      </c>
      <c r="F19" s="677" t="str">
        <f t="shared" si="0"/>
        <v/>
      </c>
      <c r="I19" s="616"/>
      <c r="J19" s="618"/>
      <c r="K19" s="618"/>
      <c r="N19" s="499"/>
      <c r="O19" s="499"/>
      <c r="P19" s="499" t="str">
        <f>IF(D19="","",SELECTION!K34*(1-SELECTION!$K$46))</f>
        <v/>
      </c>
      <c r="Q19" s="499"/>
      <c r="R19" s="499"/>
      <c r="S19" s="499"/>
      <c r="T19" s="499"/>
    </row>
    <row r="20" spans="2:20" ht="27" customHeight="1" x14ac:dyDescent="0.2">
      <c r="B20" s="619" t="str">
        <f>IF(D20="","",MAX($B$11:B19)+1)</f>
        <v/>
      </c>
      <c r="C20" s="619" t="str">
        <f>IF(D20="","",SELECTION!J35)</f>
        <v/>
      </c>
      <c r="D20" s="619" t="str">
        <f>IF(SELECTION!J35=0,"",SELECTION!B35)</f>
        <v/>
      </c>
      <c r="E20" s="620" t="str">
        <f>IF(D20="","",SELECTION!C35)</f>
        <v/>
      </c>
      <c r="F20" s="677" t="str">
        <f t="shared" si="0"/>
        <v/>
      </c>
      <c r="I20" s="616"/>
      <c r="J20" s="618"/>
      <c r="K20" s="618"/>
      <c r="N20" s="499"/>
      <c r="O20" s="499"/>
      <c r="P20" s="499" t="str">
        <f>IF(D20="","",SELECTION!K35*(1-SELECTION!$K$46))</f>
        <v/>
      </c>
      <c r="Q20" s="499"/>
      <c r="R20" s="499"/>
      <c r="S20" s="499"/>
      <c r="T20" s="499"/>
    </row>
    <row r="21" spans="2:20" ht="27" customHeight="1" x14ac:dyDescent="0.2">
      <c r="B21" s="619" t="str">
        <f>IF(D21="","",MAX($B$11:B20)+1)</f>
        <v/>
      </c>
      <c r="C21" s="619" t="str">
        <f>IF(D21="","",SELECTION!J36)</f>
        <v/>
      </c>
      <c r="D21" s="619" t="str">
        <f>IF(SELECTION!J36=0,"",SELECTION!B36)</f>
        <v/>
      </c>
      <c r="E21" s="620" t="str">
        <f>IF(D21="","",SELECTION!C36)</f>
        <v/>
      </c>
      <c r="F21" s="677" t="str">
        <f t="shared" si="0"/>
        <v/>
      </c>
      <c r="I21" s="616"/>
      <c r="J21" s="618"/>
      <c r="K21" s="618"/>
      <c r="N21" s="499"/>
      <c r="O21" s="499"/>
      <c r="P21" s="499" t="str">
        <f>IF(D21="","",SELECTION!K36*(1-SELECTION!$K$46))</f>
        <v/>
      </c>
      <c r="Q21" s="499"/>
      <c r="R21" s="499"/>
      <c r="S21" s="499"/>
      <c r="T21" s="499"/>
    </row>
    <row r="22" spans="2:20" ht="27" customHeight="1" x14ac:dyDescent="0.2">
      <c r="B22" s="619" t="str">
        <f>IF(D22="","",MAX($B$11:B21)+1)</f>
        <v/>
      </c>
      <c r="C22" s="619" t="str">
        <f>IF(SELECTION!N40=SELECTION!O41,"",IF(D22="","",SELECTION!J41))</f>
        <v/>
      </c>
      <c r="D22" s="619" t="str">
        <f>IF(SELECTION!N40=SELECTION!O41,"",IF(SELECTION!J41=0,"",SELECTION!B41))</f>
        <v/>
      </c>
      <c r="E22" s="620" t="str">
        <f>IF(D22="","",SELECTION!C41)</f>
        <v/>
      </c>
      <c r="F22" s="677" t="str">
        <f t="shared" si="0"/>
        <v/>
      </c>
      <c r="I22" s="616"/>
      <c r="J22" s="618"/>
      <c r="K22" s="618"/>
      <c r="N22" s="499"/>
      <c r="O22" s="499"/>
      <c r="P22" s="499" t="str">
        <f>IF(D22="","",SELECTION!K41*(1-SELECTION!$K$46))</f>
        <v/>
      </c>
      <c r="Q22" s="499"/>
      <c r="R22" s="499"/>
      <c r="S22" s="499"/>
      <c r="T22" s="499"/>
    </row>
    <row r="23" spans="2:20" ht="27" customHeight="1" x14ac:dyDescent="0.2">
      <c r="B23" s="619" t="str">
        <f>IF(D23="","",MAX($B$11:B22)+1)</f>
        <v/>
      </c>
      <c r="C23" s="619" t="str">
        <f>IF(D23="","",SELECTION!J42)</f>
        <v/>
      </c>
      <c r="D23" s="619" t="str">
        <f>IF(SELECTION!N40=SELECTION!O41,"",IF(SELECTION!J42=0,"",SELECTION!B42))</f>
        <v/>
      </c>
      <c r="E23" s="620" t="str">
        <f>IF(D23="","",SELECTION!C42)</f>
        <v/>
      </c>
      <c r="F23" s="677" t="str">
        <f t="shared" si="0"/>
        <v/>
      </c>
      <c r="I23" s="616"/>
      <c r="N23" s="499"/>
      <c r="O23" s="499"/>
      <c r="P23" s="499" t="str">
        <f>IF(D23="","",SELECTION!K42*(1-SELECTION!$K$46))</f>
        <v/>
      </c>
      <c r="Q23" s="499"/>
      <c r="R23" s="499"/>
      <c r="S23" s="499"/>
      <c r="T23" s="499"/>
    </row>
    <row r="24" spans="2:20" ht="27" customHeight="1" x14ac:dyDescent="0.2">
      <c r="B24" s="619" t="str">
        <f>IF(D24="","",MAX($B$11:B23)+1)</f>
        <v/>
      </c>
      <c r="C24" s="619" t="str">
        <f>IF(D24="","",SELECTION!J43)</f>
        <v/>
      </c>
      <c r="D24" s="619" t="str">
        <f>IF(SELECTION!N40=SELECTION!O41,"",IF(SELECTION!J43=0,"",SELECTION!B43))</f>
        <v/>
      </c>
      <c r="E24" s="620" t="str">
        <f>IF(D24="","",SELECTION!C43)</f>
        <v/>
      </c>
      <c r="F24" s="677" t="str">
        <f t="shared" si="0"/>
        <v/>
      </c>
      <c r="I24" s="616"/>
      <c r="N24" s="499"/>
      <c r="O24" s="499"/>
      <c r="P24" s="499" t="str">
        <f>IF(D24="","",SELECTION!K43*(1-SELECTION!$K$46))</f>
        <v/>
      </c>
      <c r="Q24" s="499"/>
      <c r="R24" s="499"/>
      <c r="S24" s="499"/>
      <c r="T24" s="499"/>
    </row>
    <row r="25" spans="2:20" x14ac:dyDescent="0.2">
      <c r="F25" s="621"/>
      <c r="N25" s="499"/>
      <c r="O25" s="499"/>
      <c r="P25" s="499"/>
      <c r="Q25" s="499"/>
      <c r="R25" s="499"/>
      <c r="S25" s="499"/>
      <c r="T25" s="499"/>
    </row>
    <row r="26" spans="2:20" x14ac:dyDescent="0.2">
      <c r="E26" s="622" t="str">
        <f>LINGUA!$B$30</f>
        <v>TOTAL</v>
      </c>
      <c r="F26" s="676">
        <f>SUM(P11:P24)</f>
        <v>6769</v>
      </c>
      <c r="G26" s="219"/>
      <c r="P26" s="616"/>
    </row>
    <row r="27" spans="2:20" x14ac:dyDescent="0.2">
      <c r="H27" s="616"/>
    </row>
    <row r="28" spans="2:20" x14ac:dyDescent="0.2">
      <c r="E28" s="623" t="str">
        <f>LINGUA!C521</f>
        <v>View Partial net prices</v>
      </c>
      <c r="F28" s="638" t="b">
        <v>1</v>
      </c>
      <c r="H28" s="616"/>
    </row>
    <row r="29" spans="2:20" x14ac:dyDescent="0.2">
      <c r="H29" s="616"/>
    </row>
    <row r="31" spans="2:20" x14ac:dyDescent="0.2">
      <c r="B31" s="757" t="str">
        <f>LINGUA!C546</f>
        <v>Note:</v>
      </c>
      <c r="C31" s="758"/>
      <c r="D31" s="758"/>
      <c r="E31" s="758"/>
      <c r="F31" s="758"/>
    </row>
    <row r="32" spans="2:20" x14ac:dyDescent="0.2">
      <c r="B32" s="766">
        <f>SELECTION!$B$53</f>
        <v>0</v>
      </c>
      <c r="C32" s="767"/>
      <c r="D32" s="767"/>
      <c r="E32" s="767"/>
      <c r="F32" s="768"/>
    </row>
    <row r="33" spans="2:6" x14ac:dyDescent="0.2">
      <c r="B33" s="769"/>
      <c r="C33" s="770"/>
      <c r="D33" s="770"/>
      <c r="E33" s="770"/>
      <c r="F33" s="771"/>
    </row>
    <row r="34" spans="2:6" x14ac:dyDescent="0.2">
      <c r="B34" s="769"/>
      <c r="C34" s="770"/>
      <c r="D34" s="770"/>
      <c r="E34" s="770"/>
      <c r="F34" s="771"/>
    </row>
    <row r="35" spans="2:6" x14ac:dyDescent="0.2">
      <c r="B35" s="769"/>
      <c r="C35" s="770"/>
      <c r="D35" s="770"/>
      <c r="E35" s="770"/>
      <c r="F35" s="771"/>
    </row>
    <row r="36" spans="2:6" x14ac:dyDescent="0.2">
      <c r="B36" s="769"/>
      <c r="C36" s="770"/>
      <c r="D36" s="770"/>
      <c r="E36" s="770"/>
      <c r="F36" s="771"/>
    </row>
    <row r="37" spans="2:6" x14ac:dyDescent="0.2">
      <c r="B37" s="769"/>
      <c r="C37" s="770"/>
      <c r="D37" s="770"/>
      <c r="E37" s="770"/>
      <c r="F37" s="771"/>
    </row>
    <row r="38" spans="2:6" x14ac:dyDescent="0.2">
      <c r="B38" s="769"/>
      <c r="C38" s="770"/>
      <c r="D38" s="770"/>
      <c r="E38" s="770"/>
      <c r="F38" s="771"/>
    </row>
    <row r="39" spans="2:6" x14ac:dyDescent="0.2">
      <c r="B39" s="769"/>
      <c r="C39" s="770"/>
      <c r="D39" s="770"/>
      <c r="E39" s="770"/>
      <c r="F39" s="771"/>
    </row>
    <row r="40" spans="2:6" x14ac:dyDescent="0.2">
      <c r="B40" s="769"/>
      <c r="C40" s="770"/>
      <c r="D40" s="770"/>
      <c r="E40" s="770"/>
      <c r="F40" s="771"/>
    </row>
    <row r="41" spans="2:6" x14ac:dyDescent="0.2">
      <c r="B41" s="769"/>
      <c r="C41" s="770"/>
      <c r="D41" s="770"/>
      <c r="E41" s="770"/>
      <c r="F41" s="771"/>
    </row>
    <row r="42" spans="2:6" x14ac:dyDescent="0.2">
      <c r="B42" s="769"/>
      <c r="C42" s="770"/>
      <c r="D42" s="770"/>
      <c r="E42" s="770"/>
      <c r="F42" s="771"/>
    </row>
    <row r="43" spans="2:6" x14ac:dyDescent="0.2">
      <c r="B43" s="772"/>
      <c r="C43" s="773"/>
      <c r="D43" s="773"/>
      <c r="E43" s="773"/>
      <c r="F43" s="774"/>
    </row>
  </sheetData>
  <sheetProtection password="CBAF" sheet="1" objects="1" scenarios="1" selectLockedCells="1" selectUnlockedCells="1"/>
  <mergeCells count="5">
    <mergeCell ref="B31:F31"/>
    <mergeCell ref="B32:F43"/>
    <mergeCell ref="B3:D3"/>
    <mergeCell ref="B5:D5"/>
    <mergeCell ref="B8:F8"/>
  </mergeCells>
  <phoneticPr fontId="4" type="noConversion"/>
  <conditionalFormatting sqref="I26">
    <cfRule type="expression" dxfId="10" priority="5" stopIfTrue="1">
      <formula>$F$28=FALSE</formula>
    </cfRule>
  </conditionalFormatting>
  <conditionalFormatting sqref="F11:F24">
    <cfRule type="expression" dxfId="9" priority="4" stopIfTrue="1">
      <formula>$F$28=FALSE</formula>
    </cfRule>
  </conditionalFormatting>
  <pageMargins left="0.51" right="0.75" top="1" bottom="1" header="0.5" footer="0.5"/>
  <pageSetup paperSize="9" scale="64" orientation="portrait" r:id="rId1"/>
  <headerFooter alignWithMargins="0">
    <oddHeader>&amp;L&amp;"Arial,Grassetto"&amp;8&amp;D &amp;F</oddHeader>
    <oddFooter>&amp;L&amp;"Arial,Grassetto"&amp;8&amp;A</oddFooter>
  </headerFooter>
  <drawing r:id="rId2"/>
  <legacyDrawing r:id="rId3"/>
  <controls>
    <mc:AlternateContent xmlns:mc="http://schemas.openxmlformats.org/markup-compatibility/2006">
      <mc:Choice Requires="x14">
        <control shapeId="34276" r:id="rId4" name="CheckBox1">
          <controlPr defaultSize="0" autoLine="0" linkedCell="F28" r:id="rId5">
            <anchor moveWithCells="1">
              <from>
                <xdr:col>5</xdr:col>
                <xdr:colOff>57150</xdr:colOff>
                <xdr:row>26</xdr:row>
                <xdr:rowOff>123825</xdr:rowOff>
              </from>
              <to>
                <xdr:col>5</xdr:col>
                <xdr:colOff>209550</xdr:colOff>
                <xdr:row>28</xdr:row>
                <xdr:rowOff>57150</xdr:rowOff>
              </to>
            </anchor>
          </controlPr>
        </control>
      </mc:Choice>
      <mc:Fallback>
        <control shapeId="34276" r:id="rId4" name="CheckBox1"/>
      </mc:Fallback>
    </mc:AlternateContent>
  </controls>
  <extLst>
    <ext xmlns:x14="http://schemas.microsoft.com/office/spreadsheetml/2009/9/main" uri="{78C0D931-6437-407d-A8EE-F0AAD7539E65}">
      <x14:conditionalFormattings>
        <x14:conditionalFormatting xmlns:xm="http://schemas.microsoft.com/office/excel/2006/main">
          <x14:cfRule type="expression" priority="3" id="{C53DB442-867E-4DF2-AE7B-BD5924DA3C06}">
            <xm:f>SELECTION!$C$46="Eur"</xm:f>
            <x14:dxf>
              <numFmt numFmtId="170" formatCode="&quot;€&quot;\ #,##0.00"/>
            </x14:dxf>
          </x14:cfRule>
          <x14:cfRule type="expression" priority="2" id="{F3E21244-FBDF-4612-9932-CC2CDEA41F0D}">
            <xm:f>SELECTION!$C$46="GBP"</xm:f>
            <x14:dxf>
              <numFmt numFmtId="174" formatCode="[$£-809]#,##0.00"/>
            </x14:dxf>
          </x14:cfRule>
          <x14:cfRule type="expression" priority="1" id="{F4574591-044F-4498-9C77-0C86AE6EB376}">
            <xm:f>SELECTION!$C$46="CNY"</xm:f>
            <x14:dxf>
              <numFmt numFmtId="173" formatCode="[$¥-804]#,##0.00"/>
            </x14:dxf>
          </x14:cfRule>
          <xm:sqref>F26 F11:F24</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oglio9">
    <pageSetUpPr fitToPage="1"/>
  </sheetPr>
  <dimension ref="A1:AG66"/>
  <sheetViews>
    <sheetView showGridLines="0" zoomScale="85" zoomScaleNormal="85" workbookViewId="0">
      <selection activeCell="C3" sqref="C1:I65536"/>
    </sheetView>
  </sheetViews>
  <sheetFormatPr defaultColWidth="8.85546875" defaultRowHeight="12.75" x14ac:dyDescent="0.2"/>
  <cols>
    <col min="1" max="1" width="8.85546875" style="60"/>
    <col min="2" max="2" width="2.7109375" style="60" customWidth="1"/>
    <col min="3" max="3" width="34" style="60" customWidth="1"/>
    <col min="4" max="4" width="3.28515625" style="60" customWidth="1"/>
    <col min="5" max="5" width="5.5703125" style="60" customWidth="1"/>
    <col min="6" max="6" width="5" style="60" customWidth="1"/>
    <col min="7" max="7" width="3.28515625" style="60" customWidth="1"/>
    <col min="8" max="8" width="33.7109375" style="60" customWidth="1"/>
    <col min="9" max="9" width="3.140625" style="60" customWidth="1"/>
    <col min="10" max="11" width="5" style="60" customWidth="1"/>
    <col min="12" max="12" width="2.85546875" style="60" customWidth="1"/>
    <col min="13" max="13" width="38.28515625" style="60" customWidth="1"/>
    <col min="14" max="14" width="3" style="60" customWidth="1"/>
    <col min="15" max="24" width="8.85546875" style="60"/>
    <col min="25" max="26" width="8.85546875" style="60" customWidth="1"/>
    <col min="27" max="27" width="8.85546875" style="3" customWidth="1"/>
    <col min="28" max="28" width="12.28515625" style="3" customWidth="1"/>
    <col min="29" max="29" width="13.42578125" style="3" customWidth="1"/>
    <col min="30" max="31" width="8.85546875" style="3" customWidth="1"/>
    <col min="32" max="32" width="19.5703125" style="3" customWidth="1"/>
    <col min="33" max="33" width="8.85546875" style="3" customWidth="1"/>
    <col min="34" max="34" width="8.85546875" style="60" customWidth="1"/>
    <col min="35" max="35" width="11.28515625" style="60" customWidth="1"/>
    <col min="36" max="37" width="8.85546875" style="60" customWidth="1"/>
    <col min="38" max="16384" width="8.85546875" style="60"/>
  </cols>
  <sheetData>
    <row r="1" spans="1:33" s="33" customFormat="1" ht="49.9" customHeight="1" x14ac:dyDescent="0.2"/>
    <row r="2" spans="1:33" x14ac:dyDescent="0.2">
      <c r="B2" s="220"/>
      <c r="C2" s="220"/>
      <c r="D2" s="220"/>
      <c r="E2" s="221" t="str">
        <f>LINGUA!B3</f>
        <v>INSTRUCTIONS: insert input data in grey cells. Results appear in green cells.</v>
      </c>
      <c r="F2" s="220"/>
      <c r="G2" s="220"/>
      <c r="H2" s="220"/>
      <c r="I2" s="220"/>
      <c r="J2" s="220"/>
      <c r="K2" s="220"/>
      <c r="L2" s="220"/>
      <c r="M2" s="220"/>
      <c r="N2" s="220"/>
      <c r="P2" s="62"/>
      <c r="Q2" s="62"/>
      <c r="R2" s="62"/>
      <c r="S2" s="62"/>
      <c r="T2" s="62"/>
      <c r="U2" s="62"/>
      <c r="V2" s="62"/>
      <c r="W2" s="62"/>
      <c r="X2" s="62"/>
      <c r="Y2" s="62"/>
      <c r="Z2" s="62"/>
      <c r="AA2" s="62"/>
      <c r="AB2" s="62"/>
      <c r="AC2" s="62"/>
      <c r="AG2" s="60"/>
    </row>
    <row r="3" spans="1:33" x14ac:dyDescent="0.2">
      <c r="B3" s="220"/>
      <c r="C3" s="220"/>
      <c r="D3" s="220"/>
      <c r="E3" s="222"/>
      <c r="F3" s="222"/>
      <c r="G3" s="223"/>
      <c r="H3" s="220"/>
      <c r="I3" s="220"/>
      <c r="J3" s="220"/>
      <c r="K3" s="220"/>
      <c r="L3" s="220"/>
      <c r="M3" s="220"/>
      <c r="N3" s="220"/>
      <c r="P3" s="62"/>
      <c r="Q3" s="62"/>
      <c r="R3" s="62"/>
      <c r="S3" s="62"/>
      <c r="T3" s="62"/>
      <c r="U3" s="62"/>
      <c r="V3" s="62"/>
      <c r="W3" s="62"/>
      <c r="X3" s="62"/>
      <c r="Y3" s="62"/>
      <c r="Z3" s="62"/>
      <c r="AA3" s="62"/>
      <c r="AB3" s="62"/>
      <c r="AC3" s="62"/>
      <c r="AG3" s="60"/>
    </row>
    <row r="4" spans="1:33" ht="13.9" customHeight="1" x14ac:dyDescent="0.2">
      <c r="B4" s="220"/>
      <c r="C4" s="220"/>
      <c r="D4" s="220"/>
      <c r="E4" s="220"/>
      <c r="F4" s="220"/>
      <c r="G4" s="223"/>
      <c r="H4" s="220"/>
      <c r="I4" s="220"/>
      <c r="J4" s="220"/>
      <c r="K4" s="220"/>
      <c r="L4" s="220"/>
      <c r="M4" s="220"/>
      <c r="N4" s="220"/>
      <c r="P4" s="62"/>
      <c r="Q4" s="62"/>
      <c r="R4" s="62"/>
      <c r="S4" s="62"/>
      <c r="T4" s="62"/>
      <c r="U4" s="62"/>
      <c r="V4" s="62"/>
      <c r="W4" s="62"/>
      <c r="X4" s="62"/>
      <c r="Y4" s="62"/>
      <c r="Z4" s="62"/>
      <c r="AA4" s="62"/>
      <c r="AB4" s="62"/>
      <c r="AC4" s="62"/>
      <c r="AD4" s="3" t="s">
        <v>2343</v>
      </c>
      <c r="AE4" s="3">
        <v>1.006</v>
      </c>
      <c r="AF4" s="3" t="s">
        <v>2344</v>
      </c>
      <c r="AG4" s="60"/>
    </row>
    <row r="5" spans="1:33" x14ac:dyDescent="0.2">
      <c r="B5" s="220"/>
      <c r="C5" s="220"/>
      <c r="D5" s="220"/>
      <c r="E5" s="220"/>
      <c r="F5" s="220"/>
      <c r="G5" s="220"/>
      <c r="H5" s="220"/>
      <c r="I5" s="220"/>
      <c r="J5" s="220"/>
      <c r="K5" s="220"/>
      <c r="L5" s="220"/>
      <c r="M5" s="220"/>
      <c r="N5" s="220"/>
    </row>
    <row r="6" spans="1:33" ht="25.15" customHeight="1" x14ac:dyDescent="0.2">
      <c r="B6" s="784" t="s">
        <v>1167</v>
      </c>
      <c r="C6" s="784"/>
      <c r="D6" s="784"/>
      <c r="E6" s="220"/>
      <c r="F6" s="220"/>
      <c r="G6" s="785" t="str">
        <f>LINGUA!B6</f>
        <v>External Air</v>
      </c>
      <c r="H6" s="785"/>
      <c r="I6" s="785"/>
      <c r="J6" s="220"/>
      <c r="K6" s="220"/>
      <c r="L6" s="784" t="s">
        <v>1168</v>
      </c>
      <c r="M6" s="784"/>
      <c r="N6" s="784"/>
    </row>
    <row r="7" spans="1:33" ht="9" customHeight="1" x14ac:dyDescent="0.2">
      <c r="A7" s="62"/>
      <c r="B7" s="224"/>
      <c r="C7" s="225"/>
      <c r="D7" s="226"/>
      <c r="E7" s="223"/>
      <c r="F7" s="223"/>
      <c r="G7" s="224"/>
      <c r="H7" s="225"/>
      <c r="I7" s="226"/>
      <c r="J7" s="220"/>
      <c r="K7" s="220"/>
      <c r="L7" s="224"/>
      <c r="M7" s="225"/>
      <c r="N7" s="226"/>
    </row>
    <row r="8" spans="1:33" x14ac:dyDescent="0.2">
      <c r="A8" s="62"/>
      <c r="B8" s="227"/>
      <c r="C8" s="228" t="str">
        <f>LINGUA!B45</f>
        <v>Steam distributor</v>
      </c>
      <c r="D8" s="229"/>
      <c r="E8" s="223"/>
      <c r="F8" s="223"/>
      <c r="G8" s="227"/>
      <c r="H8" s="230" t="str">
        <f>LINGUA!B10</f>
        <v>Temperature</v>
      </c>
      <c r="I8" s="229"/>
      <c r="J8" s="220"/>
      <c r="K8" s="220"/>
      <c r="L8" s="227"/>
      <c r="M8" s="228" t="str">
        <f>LINGUA!B59</f>
        <v>Max kg/h per distributor</v>
      </c>
      <c r="N8" s="229"/>
    </row>
    <row r="9" spans="1:33" x14ac:dyDescent="0.2">
      <c r="A9" s="62"/>
      <c r="B9" s="227"/>
      <c r="C9" s="231" t="str">
        <f>DESIGN!D120</f>
        <v>DP060D40RU</v>
      </c>
      <c r="D9" s="232"/>
      <c r="E9" s="223"/>
      <c r="F9" s="223"/>
      <c r="G9" s="227"/>
      <c r="H9" s="233">
        <f>DESIGN!E37</f>
        <v>-5</v>
      </c>
      <c r="I9" s="232"/>
      <c r="J9" s="220"/>
      <c r="K9" s="220"/>
      <c r="L9" s="227"/>
      <c r="M9" s="234">
        <f>LOOKUP(AF36,AB15:AB35,AE15:AE35)</f>
        <v>45</v>
      </c>
      <c r="N9" s="229"/>
    </row>
    <row r="10" spans="1:33" x14ac:dyDescent="0.2">
      <c r="A10" s="62"/>
      <c r="B10" s="227"/>
      <c r="C10" s="223"/>
      <c r="D10" s="235"/>
      <c r="E10" s="223"/>
      <c r="F10" s="223"/>
      <c r="G10" s="227"/>
      <c r="H10" s="222"/>
      <c r="I10" s="235"/>
      <c r="J10" s="220"/>
      <c r="K10" s="220"/>
      <c r="L10" s="227"/>
      <c r="M10" s="223"/>
      <c r="N10" s="229"/>
    </row>
    <row r="11" spans="1:33" x14ac:dyDescent="0.2">
      <c r="B11" s="227"/>
      <c r="C11" s="228" t="str">
        <f>LINGUA!B57</f>
        <v>No. of distributors in the duct</v>
      </c>
      <c r="D11" s="235"/>
      <c r="E11" s="223"/>
      <c r="F11" s="223"/>
      <c r="G11" s="227"/>
      <c r="H11" s="230" t="str">
        <f>LINGUA!B9</f>
        <v>Relative humidity</v>
      </c>
      <c r="I11" s="235"/>
      <c r="J11" s="220"/>
      <c r="K11" s="220"/>
      <c r="L11" s="227"/>
      <c r="M11" s="228" t="str">
        <f>LINGUA!B60</f>
        <v>Distributor length (mm)</v>
      </c>
      <c r="N11" s="229"/>
    </row>
    <row r="12" spans="1:33" x14ac:dyDescent="0.2">
      <c r="B12" s="227"/>
      <c r="C12" s="389">
        <f>DESIGN!G120</f>
        <v>2</v>
      </c>
      <c r="D12" s="232"/>
      <c r="E12" s="223"/>
      <c r="F12" s="223"/>
      <c r="G12" s="227"/>
      <c r="H12" s="236">
        <f>DESIGN!E36</f>
        <v>0.9</v>
      </c>
      <c r="I12" s="232"/>
      <c r="J12" s="220"/>
      <c r="K12" s="220"/>
      <c r="L12" s="227"/>
      <c r="M12" s="234">
        <f>LOOKUP(AF36,AB15:AB35,AD15:AD35)</f>
        <v>600</v>
      </c>
      <c r="N12" s="229"/>
    </row>
    <row r="13" spans="1:33" x14ac:dyDescent="0.2">
      <c r="B13" s="227"/>
      <c r="C13" s="223"/>
      <c r="D13" s="235"/>
      <c r="E13" s="223"/>
      <c r="F13" s="223"/>
      <c r="G13" s="237"/>
      <c r="H13" s="238"/>
      <c r="I13" s="239"/>
      <c r="J13" s="220"/>
      <c r="K13" s="220"/>
      <c r="L13" s="227"/>
      <c r="M13" s="223"/>
      <c r="N13" s="229"/>
    </row>
    <row r="14" spans="1:33" x14ac:dyDescent="0.2">
      <c r="B14" s="240"/>
      <c r="C14" s="228" t="str">
        <f>LINGUA!B58</f>
        <v>Humidifier capacity (kg/h)</v>
      </c>
      <c r="D14" s="235"/>
      <c r="E14" s="223"/>
      <c r="F14" s="223"/>
      <c r="G14" s="220"/>
      <c r="H14" s="220"/>
      <c r="I14" s="220"/>
      <c r="J14" s="220"/>
      <c r="K14" s="220"/>
      <c r="L14" s="227"/>
      <c r="M14" s="241" t="str">
        <f>LINGUA!B20</f>
        <v>Air speed</v>
      </c>
      <c r="N14" s="229"/>
      <c r="AB14" s="3" t="s">
        <v>958</v>
      </c>
      <c r="AC14" s="3" t="s">
        <v>2345</v>
      </c>
      <c r="AD14" s="3" t="s">
        <v>2346</v>
      </c>
      <c r="AE14" s="3" t="s">
        <v>2347</v>
      </c>
    </row>
    <row r="15" spans="1:33" x14ac:dyDescent="0.2">
      <c r="B15" s="240"/>
      <c r="C15" s="271">
        <f>DP!AA1</f>
        <v>80</v>
      </c>
      <c r="D15" s="242"/>
      <c r="E15" s="223"/>
      <c r="F15" s="223"/>
      <c r="G15" s="784" t="str">
        <f>LINGUA!B14</f>
        <v>Duct</v>
      </c>
      <c r="H15" s="784"/>
      <c r="I15" s="784"/>
      <c r="J15" s="220"/>
      <c r="K15" s="220"/>
      <c r="L15" s="227"/>
      <c r="M15" s="243">
        <f>AG47</f>
        <v>2.1043771043771042</v>
      </c>
      <c r="N15" s="229"/>
      <c r="AB15" s="3">
        <v>1</v>
      </c>
      <c r="AC15" s="3" t="s">
        <v>1215</v>
      </c>
      <c r="AD15" s="3">
        <v>300</v>
      </c>
      <c r="AE15" s="3">
        <v>4</v>
      </c>
      <c r="AF15" s="3">
        <f t="shared" ref="AF15:AF35" si="0">IF(AC15=$C$9,1,0)*AB15</f>
        <v>0</v>
      </c>
    </row>
    <row r="16" spans="1:33" x14ac:dyDescent="0.2">
      <c r="B16" s="244"/>
      <c r="C16" s="245"/>
      <c r="D16" s="246"/>
      <c r="E16" s="223"/>
      <c r="F16" s="223"/>
      <c r="G16" s="224"/>
      <c r="H16" s="225"/>
      <c r="I16" s="226"/>
      <c r="J16" s="220"/>
      <c r="K16" s="220"/>
      <c r="L16" s="227"/>
      <c r="M16" s="223"/>
      <c r="N16" s="229"/>
      <c r="AB16" s="3">
        <f t="shared" ref="AB16:AB35" si="1">AB15+1</f>
        <v>2</v>
      </c>
      <c r="AC16" s="3" t="s">
        <v>245</v>
      </c>
      <c r="AD16" s="3">
        <v>332</v>
      </c>
      <c r="AE16" s="3">
        <v>4</v>
      </c>
      <c r="AF16" s="3">
        <f t="shared" si="0"/>
        <v>0</v>
      </c>
    </row>
    <row r="17" spans="1:32" x14ac:dyDescent="0.2">
      <c r="A17" s="63"/>
      <c r="B17" s="223"/>
      <c r="C17" s="220"/>
      <c r="D17" s="222"/>
      <c r="E17" s="223"/>
      <c r="F17" s="223"/>
      <c r="G17" s="227"/>
      <c r="H17" s="228" t="str">
        <f>LINGUA!B18</f>
        <v>Air flow V</v>
      </c>
      <c r="I17" s="247"/>
      <c r="J17" s="220"/>
      <c r="K17" s="220"/>
      <c r="L17" s="227"/>
      <c r="M17" s="228" t="str">
        <f>LINGUA!B61</f>
        <v>Humidification distance (m)</v>
      </c>
      <c r="N17" s="229"/>
      <c r="AB17" s="3">
        <f t="shared" si="1"/>
        <v>3</v>
      </c>
      <c r="AC17" s="3" t="s">
        <v>246</v>
      </c>
      <c r="AD17" s="3">
        <v>438</v>
      </c>
      <c r="AE17" s="3">
        <v>6</v>
      </c>
      <c r="AF17" s="3">
        <f t="shared" si="0"/>
        <v>0</v>
      </c>
    </row>
    <row r="18" spans="1:32" x14ac:dyDescent="0.2">
      <c r="A18" s="63"/>
      <c r="B18" s="223"/>
      <c r="C18" s="220"/>
      <c r="D18" s="248"/>
      <c r="E18" s="223"/>
      <c r="F18" s="223"/>
      <c r="G18" s="227"/>
      <c r="H18" s="249">
        <f>DESIGN!E77</f>
        <v>10000</v>
      </c>
      <c r="I18" s="232"/>
      <c r="J18" s="220"/>
      <c r="K18" s="220"/>
      <c r="L18" s="227"/>
      <c r="M18" s="243">
        <f>ROUNDUP(IF(AND(G28="",G29=""),0.05+IF((3.26/(LN(0.119*AE51*((C15/(C12*(M12/1000)))^(0.26))*(AG47^(0.086))))^2)&lt;0,0,(3.26/(LN(0.119*AE51*((C15/(C12*(M12/1000)))^(0.26))*(AG47^(0.086))))^2)),"")*1.1,2)</f>
        <v>1.46</v>
      </c>
      <c r="N18" s="229"/>
      <c r="P18" s="377" t="s">
        <v>2946</v>
      </c>
      <c r="AB18" s="3">
        <f t="shared" si="1"/>
        <v>4</v>
      </c>
      <c r="AC18" s="3" t="s">
        <v>247</v>
      </c>
      <c r="AD18" s="3">
        <v>597</v>
      </c>
      <c r="AE18" s="3">
        <v>9</v>
      </c>
      <c r="AF18" s="3">
        <f t="shared" si="0"/>
        <v>0</v>
      </c>
    </row>
    <row r="19" spans="1:32" x14ac:dyDescent="0.2">
      <c r="A19" s="63"/>
      <c r="B19" s="223"/>
      <c r="C19" s="223"/>
      <c r="D19" s="222"/>
      <c r="E19" s="223"/>
      <c r="F19" s="223"/>
      <c r="G19" s="227"/>
      <c r="H19" s="223"/>
      <c r="I19" s="235"/>
      <c r="J19" s="220"/>
      <c r="K19" s="220"/>
      <c r="L19" s="237"/>
      <c r="M19" s="250"/>
      <c r="N19" s="251"/>
      <c r="AB19" s="3">
        <f t="shared" si="1"/>
        <v>5</v>
      </c>
      <c r="AC19" s="3" t="s">
        <v>248</v>
      </c>
      <c r="AD19" s="3">
        <v>835</v>
      </c>
      <c r="AE19" s="3">
        <v>9</v>
      </c>
      <c r="AF19" s="3">
        <f t="shared" si="0"/>
        <v>0</v>
      </c>
    </row>
    <row r="20" spans="1:32" x14ac:dyDescent="0.2">
      <c r="B20" s="220"/>
      <c r="C20" s="220"/>
      <c r="D20" s="220"/>
      <c r="E20" s="174"/>
      <c r="F20" s="174"/>
      <c r="G20" s="227"/>
      <c r="H20" s="228" t="str">
        <f>LINGUA!B16</f>
        <v>Internal height C2</v>
      </c>
      <c r="I20" s="229"/>
      <c r="J20" s="220"/>
      <c r="K20" s="220"/>
      <c r="L20" s="220"/>
      <c r="M20" s="220">
        <f>ROUNDUP((M18*1.1),2)</f>
        <v>1.61</v>
      </c>
      <c r="N20" s="220"/>
      <c r="AB20" s="3">
        <f t="shared" si="1"/>
        <v>6</v>
      </c>
      <c r="AC20" s="3" t="s">
        <v>1216</v>
      </c>
      <c r="AD20" s="3">
        <v>300</v>
      </c>
      <c r="AE20" s="3">
        <v>15</v>
      </c>
      <c r="AF20" s="3">
        <f t="shared" si="0"/>
        <v>0</v>
      </c>
    </row>
    <row r="21" spans="1:32" x14ac:dyDescent="0.2">
      <c r="B21" s="220"/>
      <c r="C21" s="220"/>
      <c r="D21" s="220"/>
      <c r="E21" s="174"/>
      <c r="F21" s="174"/>
      <c r="G21" s="227"/>
      <c r="H21" s="233">
        <f>DESIGN!E76</f>
        <v>1100</v>
      </c>
      <c r="I21" s="229"/>
      <c r="J21" s="220"/>
      <c r="K21" s="220"/>
      <c r="L21" s="220"/>
      <c r="M21" s="220"/>
      <c r="N21" s="220"/>
      <c r="AB21" s="3">
        <f t="shared" si="1"/>
        <v>7</v>
      </c>
      <c r="AC21" s="3" t="s">
        <v>249</v>
      </c>
      <c r="AD21" s="3">
        <v>343</v>
      </c>
      <c r="AE21" s="3">
        <v>5</v>
      </c>
      <c r="AF21" s="3">
        <f t="shared" si="0"/>
        <v>0</v>
      </c>
    </row>
    <row r="22" spans="1:32" x14ac:dyDescent="0.2">
      <c r="B22" s="220"/>
      <c r="C22" s="220"/>
      <c r="D22" s="220"/>
      <c r="E22" s="174"/>
      <c r="F22" s="174"/>
      <c r="G22" s="227"/>
      <c r="H22" s="223"/>
      <c r="I22" s="229"/>
      <c r="J22" s="220"/>
      <c r="K22" s="220"/>
      <c r="L22" s="220"/>
      <c r="M22" s="220"/>
      <c r="N22" s="220"/>
      <c r="AB22" s="3">
        <f t="shared" si="1"/>
        <v>8</v>
      </c>
      <c r="AC22" s="3" t="s">
        <v>250</v>
      </c>
      <c r="AD22" s="3">
        <v>427</v>
      </c>
      <c r="AE22" s="3">
        <v>8</v>
      </c>
      <c r="AF22" s="3">
        <f t="shared" si="0"/>
        <v>0</v>
      </c>
    </row>
    <row r="23" spans="1:32" x14ac:dyDescent="0.2">
      <c r="B23" s="223"/>
      <c r="C23" s="220"/>
      <c r="D23" s="220"/>
      <c r="E23" s="223"/>
      <c r="F23" s="223"/>
      <c r="G23" s="227"/>
      <c r="H23" s="228" t="str">
        <f>LINGUA!B15</f>
        <v>Internal width C1</v>
      </c>
      <c r="I23" s="229"/>
      <c r="J23" s="220"/>
      <c r="K23" s="220"/>
      <c r="L23" s="220"/>
      <c r="M23" s="220"/>
      <c r="N23" s="220"/>
      <c r="AB23" s="3">
        <f t="shared" si="1"/>
        <v>9</v>
      </c>
      <c r="AC23" s="3" t="s">
        <v>1217</v>
      </c>
      <c r="AD23" s="3">
        <v>450</v>
      </c>
      <c r="AE23" s="3">
        <v>15</v>
      </c>
      <c r="AF23" s="3">
        <f t="shared" si="0"/>
        <v>0</v>
      </c>
    </row>
    <row r="24" spans="1:32" x14ac:dyDescent="0.2">
      <c r="B24" s="223"/>
      <c r="C24" s="220"/>
      <c r="D24" s="220"/>
      <c r="E24" s="223"/>
      <c r="F24" s="223"/>
      <c r="G24" s="227"/>
      <c r="H24" s="233">
        <f>DESIGN!E75</f>
        <v>1200</v>
      </c>
      <c r="I24" s="229"/>
      <c r="J24" s="220"/>
      <c r="K24" s="220"/>
      <c r="L24" s="220"/>
      <c r="M24" s="220"/>
      <c r="N24" s="220"/>
      <c r="AB24" s="3">
        <f t="shared" si="1"/>
        <v>10</v>
      </c>
      <c r="AC24" s="3" t="s">
        <v>251</v>
      </c>
      <c r="AD24" s="3">
        <v>596</v>
      </c>
      <c r="AE24" s="3">
        <v>12</v>
      </c>
      <c r="AF24" s="3">
        <f t="shared" si="0"/>
        <v>0</v>
      </c>
    </row>
    <row r="25" spans="1:32" x14ac:dyDescent="0.2">
      <c r="B25" s="220"/>
      <c r="C25" s="220"/>
      <c r="D25" s="220"/>
      <c r="E25" s="220"/>
      <c r="F25" s="220"/>
      <c r="G25" s="237"/>
      <c r="H25" s="250"/>
      <c r="I25" s="251"/>
      <c r="J25" s="220"/>
      <c r="K25" s="220"/>
      <c r="L25" s="228" t="str">
        <f>LINGUA!B62</f>
        <v xml:space="preserve">The humidification distance is calculated using the work of Gundacker </v>
      </c>
      <c r="M25" s="220"/>
      <c r="N25" s="220"/>
      <c r="AB25" s="3">
        <f t="shared" si="1"/>
        <v>11</v>
      </c>
      <c r="AC25" s="3" t="s">
        <v>1218</v>
      </c>
      <c r="AD25" s="3">
        <v>600</v>
      </c>
      <c r="AE25" s="3">
        <v>15</v>
      </c>
      <c r="AF25" s="3">
        <f t="shared" si="0"/>
        <v>0</v>
      </c>
    </row>
    <row r="26" spans="1:32" x14ac:dyDescent="0.2">
      <c r="AB26" s="3">
        <f t="shared" si="1"/>
        <v>12</v>
      </c>
      <c r="AC26" s="3" t="s">
        <v>252</v>
      </c>
      <c r="AD26" s="3">
        <v>850</v>
      </c>
      <c r="AE26" s="3">
        <v>18</v>
      </c>
      <c r="AF26" s="3">
        <f t="shared" si="0"/>
        <v>0</v>
      </c>
    </row>
    <row r="27" spans="1:32" x14ac:dyDescent="0.2">
      <c r="E27" s="63"/>
      <c r="F27" s="63"/>
      <c r="G27" s="63"/>
      <c r="AB27" s="3">
        <f t="shared" si="1"/>
        <v>13</v>
      </c>
      <c r="AC27" s="3" t="s">
        <v>253</v>
      </c>
      <c r="AD27" s="3">
        <v>1048</v>
      </c>
      <c r="AE27" s="3">
        <v>18</v>
      </c>
      <c r="AF27" s="3">
        <f t="shared" si="0"/>
        <v>0</v>
      </c>
    </row>
    <row r="28" spans="1:32" ht="18" x14ac:dyDescent="0.25">
      <c r="B28" s="63"/>
      <c r="D28" s="95" t="str">
        <f>IF(OR(G28&lt;&gt;"",G29&lt;&gt;"",G30&lt;&gt;"",),"ERROR", "")</f>
        <v/>
      </c>
      <c r="E28" s="63"/>
      <c r="F28" s="63"/>
      <c r="G28" s="94" t="str">
        <f>IF(M12&gt;H24,LINGUA!B63,"")</f>
        <v/>
      </c>
      <c r="H28" s="64"/>
      <c r="AB28" s="3">
        <f t="shared" si="1"/>
        <v>14</v>
      </c>
      <c r="AC28" s="3" t="s">
        <v>254</v>
      </c>
      <c r="AD28" s="3">
        <v>1245</v>
      </c>
      <c r="AE28" s="3">
        <v>18</v>
      </c>
      <c r="AF28" s="3">
        <f t="shared" si="0"/>
        <v>0</v>
      </c>
    </row>
    <row r="29" spans="1:32" ht="15.75" x14ac:dyDescent="0.25">
      <c r="B29" s="63"/>
      <c r="E29" s="63"/>
      <c r="F29" s="63"/>
      <c r="G29" s="96" t="str">
        <f>IF((M9*C12)&lt;C15,LINGUA!B64,"")</f>
        <v/>
      </c>
      <c r="H29" s="97"/>
      <c r="AB29" s="3">
        <f t="shared" si="1"/>
        <v>15</v>
      </c>
      <c r="AC29" s="3" t="s">
        <v>1219</v>
      </c>
      <c r="AD29" s="3">
        <v>1640</v>
      </c>
      <c r="AE29" s="3">
        <v>18</v>
      </c>
      <c r="AF29" s="3">
        <f t="shared" si="0"/>
        <v>0</v>
      </c>
    </row>
    <row r="30" spans="1:32" ht="15.75" x14ac:dyDescent="0.25">
      <c r="B30" s="63"/>
      <c r="E30" s="63"/>
      <c r="F30" s="63"/>
      <c r="G30" s="96" t="str">
        <f>IF(C15/H18/1.2*1000+DESIGN!J36&gt;AE50*1000,LINGUA!B519,"")</f>
        <v/>
      </c>
      <c r="H30" s="97"/>
      <c r="AB30" s="3">
        <f t="shared" si="1"/>
        <v>16</v>
      </c>
      <c r="AC30" s="3" t="s">
        <v>1220</v>
      </c>
      <c r="AD30" s="3">
        <v>600</v>
      </c>
      <c r="AE30" s="3">
        <v>45</v>
      </c>
      <c r="AF30" s="3">
        <f t="shared" si="0"/>
        <v>16</v>
      </c>
    </row>
    <row r="31" spans="1:32" x14ac:dyDescent="0.2">
      <c r="B31" s="63"/>
      <c r="E31" s="63"/>
      <c r="F31" s="63"/>
      <c r="G31" s="63"/>
      <c r="AB31" s="3">
        <f t="shared" si="1"/>
        <v>17</v>
      </c>
      <c r="AC31" s="3" t="s">
        <v>255</v>
      </c>
      <c r="AD31" s="3">
        <v>834</v>
      </c>
      <c r="AE31" s="3">
        <v>25</v>
      </c>
      <c r="AF31" s="3">
        <f t="shared" si="0"/>
        <v>0</v>
      </c>
    </row>
    <row r="32" spans="1:32" x14ac:dyDescent="0.2">
      <c r="B32" s="63"/>
      <c r="C32" s="377"/>
      <c r="E32" s="63"/>
      <c r="F32" s="63"/>
      <c r="AB32" s="3">
        <f t="shared" si="1"/>
        <v>18</v>
      </c>
      <c r="AC32" s="3" t="s">
        <v>256</v>
      </c>
      <c r="AD32" s="3">
        <v>1015</v>
      </c>
      <c r="AE32" s="3">
        <v>35</v>
      </c>
      <c r="AF32" s="3">
        <f t="shared" si="0"/>
        <v>0</v>
      </c>
    </row>
    <row r="33" spans="2:33" x14ac:dyDescent="0.2">
      <c r="B33" s="66"/>
      <c r="C33" s="67"/>
      <c r="D33" s="67"/>
      <c r="E33" s="66"/>
      <c r="F33" s="66"/>
      <c r="G33" s="63"/>
      <c r="AB33" s="3">
        <f t="shared" si="1"/>
        <v>19</v>
      </c>
      <c r="AC33" s="3" t="s">
        <v>257</v>
      </c>
      <c r="AD33" s="3">
        <v>1222</v>
      </c>
      <c r="AE33" s="3">
        <v>45</v>
      </c>
      <c r="AF33" s="3">
        <f t="shared" si="0"/>
        <v>0</v>
      </c>
    </row>
    <row r="34" spans="2:33" x14ac:dyDescent="0.2">
      <c r="B34" s="62"/>
      <c r="C34" s="67"/>
      <c r="D34" s="67"/>
      <c r="E34" s="62"/>
      <c r="F34" s="62"/>
      <c r="AB34" s="3">
        <f t="shared" si="1"/>
        <v>20</v>
      </c>
      <c r="AC34" s="3" t="s">
        <v>244</v>
      </c>
      <c r="AD34" s="3">
        <v>1636</v>
      </c>
      <c r="AE34" s="3">
        <v>45</v>
      </c>
      <c r="AF34" s="3">
        <f t="shared" si="0"/>
        <v>0</v>
      </c>
    </row>
    <row r="35" spans="2:33" x14ac:dyDescent="0.2">
      <c r="B35" s="62"/>
      <c r="C35" s="67"/>
      <c r="D35" s="67"/>
      <c r="E35" s="62"/>
      <c r="F35" s="62"/>
      <c r="AB35" s="3">
        <f t="shared" si="1"/>
        <v>21</v>
      </c>
      <c r="AC35" s="3" t="s">
        <v>243</v>
      </c>
      <c r="AD35" s="3">
        <v>2025</v>
      </c>
      <c r="AE35" s="3">
        <v>45</v>
      </c>
      <c r="AF35" s="3">
        <f t="shared" si="0"/>
        <v>0</v>
      </c>
    </row>
    <row r="36" spans="2:33" x14ac:dyDescent="0.2">
      <c r="E36" s="66"/>
      <c r="F36" s="66"/>
      <c r="AF36" s="68">
        <f>SUM(AF15:AF35)</f>
        <v>16</v>
      </c>
    </row>
    <row r="39" spans="2:33" x14ac:dyDescent="0.2">
      <c r="AB39" s="69" t="s">
        <v>2348</v>
      </c>
      <c r="AC39" s="70">
        <v>-5674.3590000000004</v>
      </c>
      <c r="AD39" s="71">
        <v>-5800.2205999999996</v>
      </c>
      <c r="AE39" s="69" t="s">
        <v>863</v>
      </c>
      <c r="AF39" s="72">
        <v>1.006</v>
      </c>
    </row>
    <row r="40" spans="2:33" x14ac:dyDescent="0.2">
      <c r="AB40" s="73" t="s">
        <v>2349</v>
      </c>
      <c r="AC40" s="39">
        <v>6.3925247000000001</v>
      </c>
      <c r="AD40" s="74">
        <v>1.3914993</v>
      </c>
      <c r="AE40" s="73" t="s">
        <v>864</v>
      </c>
      <c r="AF40" s="75">
        <v>1.8049999999999999</v>
      </c>
    </row>
    <row r="41" spans="2:33" x14ac:dyDescent="0.2">
      <c r="I41" s="65"/>
      <c r="AB41" s="73" t="s">
        <v>2350</v>
      </c>
      <c r="AC41" s="39">
        <v>-9.6778430000000002E-3</v>
      </c>
      <c r="AD41" s="74">
        <v>-4.8640239000000002E-2</v>
      </c>
      <c r="AE41" s="73" t="s">
        <v>865</v>
      </c>
      <c r="AF41" s="75">
        <v>2501</v>
      </c>
    </row>
    <row r="42" spans="2:33" x14ac:dyDescent="0.2">
      <c r="C42" s="61"/>
      <c r="AB42" s="73" t="s">
        <v>1211</v>
      </c>
      <c r="AC42" s="76">
        <v>6.2215700999999996E-7</v>
      </c>
      <c r="AD42" s="76">
        <v>4.1764768000000003E-5</v>
      </c>
      <c r="AE42" s="73" t="s">
        <v>866</v>
      </c>
      <c r="AF42" s="75">
        <v>8313.6</v>
      </c>
    </row>
    <row r="43" spans="2:33" x14ac:dyDescent="0.2">
      <c r="D43" s="62"/>
      <c r="E43" s="62"/>
      <c r="F43" s="62"/>
      <c r="G43" s="62"/>
      <c r="H43" s="62"/>
      <c r="AB43" s="73" t="s">
        <v>2351</v>
      </c>
      <c r="AC43" s="76">
        <v>2.0747825000000001E-9</v>
      </c>
      <c r="AD43" s="76">
        <v>-1.4452092999999999E-8</v>
      </c>
      <c r="AE43" s="73" t="s">
        <v>2352</v>
      </c>
      <c r="AF43" s="75">
        <v>1.004</v>
      </c>
    </row>
    <row r="44" spans="2:33" x14ac:dyDescent="0.2">
      <c r="D44" s="62"/>
      <c r="E44" s="62"/>
      <c r="F44" s="62"/>
      <c r="G44" s="62"/>
      <c r="H44" s="62"/>
      <c r="AB44" s="73" t="s">
        <v>2353</v>
      </c>
      <c r="AC44" s="76">
        <v>-9.4840240000000005E-13</v>
      </c>
      <c r="AD44" s="74">
        <v>0</v>
      </c>
      <c r="AE44" s="73" t="s">
        <v>2354</v>
      </c>
      <c r="AF44" s="75">
        <v>0.62197999999999998</v>
      </c>
    </row>
    <row r="45" spans="2:33" x14ac:dyDescent="0.2">
      <c r="D45" s="62"/>
      <c r="E45" s="62"/>
      <c r="F45" s="62"/>
      <c r="G45" s="77"/>
      <c r="H45" s="62"/>
      <c r="AB45" s="78" t="s">
        <v>2355</v>
      </c>
      <c r="AC45" s="79">
        <v>4.1635019</v>
      </c>
      <c r="AD45" s="79">
        <v>6.5459673</v>
      </c>
      <c r="AE45" s="80"/>
      <c r="AF45" s="81"/>
    </row>
    <row r="46" spans="2:33" x14ac:dyDescent="0.2">
      <c r="D46" s="62"/>
      <c r="E46" s="62"/>
      <c r="F46" s="62"/>
      <c r="G46" s="82"/>
      <c r="H46" s="62"/>
      <c r="AB46" s="83" t="s">
        <v>2356</v>
      </c>
      <c r="AC46" s="84">
        <f>H9</f>
        <v>-5</v>
      </c>
      <c r="AD46" s="83" t="s">
        <v>2357</v>
      </c>
      <c r="AE46" s="266">
        <f>DESIGN!E42</f>
        <v>20</v>
      </c>
      <c r="AF46" s="83" t="s">
        <v>2358</v>
      </c>
      <c r="AG46" s="266">
        <f>1.293*(AC50/101325)*(273.15/DESIGN!AF43)*(1/(1+1.6078*DESIGN!AF45/1000))</f>
        <v>1.2045707891199364</v>
      </c>
    </row>
    <row r="47" spans="2:33" x14ac:dyDescent="0.2">
      <c r="D47" s="62"/>
      <c r="E47" s="62"/>
      <c r="F47" s="62"/>
      <c r="G47" s="62"/>
      <c r="H47" s="62"/>
      <c r="AB47" s="85" t="s">
        <v>2359</v>
      </c>
      <c r="AC47" s="86">
        <f>H12</f>
        <v>0.9</v>
      </c>
      <c r="AD47" s="85"/>
      <c r="AE47" s="81"/>
      <c r="AF47" s="93" t="s">
        <v>1166</v>
      </c>
      <c r="AG47" s="268">
        <f>DESIGN!E79</f>
        <v>2.1043771043771042</v>
      </c>
    </row>
    <row r="48" spans="2:33" x14ac:dyDescent="0.2">
      <c r="D48" s="62"/>
      <c r="E48" s="62"/>
      <c r="F48" s="62"/>
      <c r="G48" s="66"/>
      <c r="H48" s="62"/>
      <c r="AB48" s="85" t="s">
        <v>2360</v>
      </c>
      <c r="AC48" s="81">
        <f>AC46+273.15</f>
        <v>268.14999999999998</v>
      </c>
      <c r="AD48" s="85" t="s">
        <v>2361</v>
      </c>
      <c r="AE48" s="81">
        <f>AE46+273.15</f>
        <v>293.14999999999998</v>
      </c>
      <c r="AF48" s="85" t="s">
        <v>2362</v>
      </c>
      <c r="AG48" s="272">
        <f>AG49-AC51*1000</f>
        <v>6.6666345854598204</v>
      </c>
    </row>
    <row r="49" spans="3:33" x14ac:dyDescent="0.2">
      <c r="D49" s="62"/>
      <c r="E49" s="62"/>
      <c r="F49" s="62"/>
      <c r="G49" s="62"/>
      <c r="H49" s="62"/>
      <c r="AB49" s="85" t="s">
        <v>2363</v>
      </c>
      <c r="AC49" s="81">
        <f>IF(AC46&lt;0,EXP($AC$39/AC48+$AC$40+$AC$41*AC48+$AC$42*AC48^2+$AC$43*AC48^3+$AC$44*AC48^4+$AC$45*LN(AC48)),EXP($AD$39/AC48+$AD$40+$AD$41*AC48+$AD$42*AC48^2+$AD$43*AC48^3+$AD$44*AC48^4+$AD$45*LN(AC48)))</f>
        <v>402.02925588076624</v>
      </c>
      <c r="AD49" s="85" t="s">
        <v>1159</v>
      </c>
      <c r="AE49" s="81">
        <f>IF(AE46&lt;0,EXP($AC$39/AE48+$AC$40+$AC$41*AE48+$AC$42*AE48^2+$AC$43*AE48^3+$AC$44*AE48^4+$AC$45*LN(AE48)),EXP($AD$39/AE48+$AD$40+$AD$41*AE48+$AD$42*AE48^2+$AD$43*AE48^3+$AD$44*AE48^4+$AD$45*LN(AE48)))</f>
        <v>2338.8037000739814</v>
      </c>
      <c r="AF49" s="85" t="s">
        <v>1160</v>
      </c>
      <c r="AG49" s="272">
        <f>IF(C15/H18/1.2*1000+DESIGN!J36&lt;=AE50*1000,C15/H18/1.2*1000+DESIGN!J36,AE50*1000)</f>
        <v>8.9046008328239452</v>
      </c>
    </row>
    <row r="50" spans="3:33" x14ac:dyDescent="0.2">
      <c r="D50" s="62"/>
      <c r="E50" s="62"/>
      <c r="F50" s="62"/>
      <c r="G50" s="62"/>
      <c r="H50" s="62"/>
      <c r="AB50" s="85" t="s">
        <v>1161</v>
      </c>
      <c r="AC50" s="267">
        <f>DESIGN!W42</f>
        <v>101325</v>
      </c>
      <c r="AD50" s="85" t="s">
        <v>1162</v>
      </c>
      <c r="AE50" s="81">
        <f>0.62198*1.004*AE49/(AC50-1.004*AE49)</f>
        <v>1.4756056728637994E-2</v>
      </c>
      <c r="AF50" s="85" t="s">
        <v>1163</v>
      </c>
      <c r="AG50" s="269">
        <f>DESIGN!Z43-273.15</f>
        <v>20</v>
      </c>
    </row>
    <row r="51" spans="3:33" x14ac:dyDescent="0.2">
      <c r="D51" s="62"/>
      <c r="E51" s="62"/>
      <c r="F51" s="62"/>
      <c r="G51" s="87"/>
      <c r="H51" s="62"/>
      <c r="AB51" s="80" t="s">
        <v>1164</v>
      </c>
      <c r="AC51" s="88">
        <f>$AF$43*$AF$44*AC47*AC49/(AC50-$AF$43*AC47*AC49)</f>
        <v>2.2379662473641249E-3</v>
      </c>
      <c r="AD51" s="80" t="s">
        <v>1165</v>
      </c>
      <c r="AE51" s="88">
        <f>AG48/(1000*(AE50-AC51))</f>
        <v>0.53256002546335712</v>
      </c>
      <c r="AF51" s="80"/>
      <c r="AG51" s="88"/>
    </row>
    <row r="52" spans="3:33" x14ac:dyDescent="0.2">
      <c r="C52" s="65"/>
      <c r="D52" s="66"/>
      <c r="E52" s="66"/>
      <c r="F52" s="66"/>
      <c r="G52" s="66"/>
      <c r="H52" s="66"/>
    </row>
    <row r="53" spans="3:33" x14ac:dyDescent="0.2">
      <c r="C53" s="66"/>
      <c r="D53" s="66"/>
      <c r="E53" s="66"/>
      <c r="F53" s="66"/>
      <c r="G53" s="87"/>
      <c r="H53" s="66"/>
    </row>
    <row r="54" spans="3:33" x14ac:dyDescent="0.2">
      <c r="C54" s="66"/>
      <c r="D54" s="66"/>
      <c r="E54" s="66"/>
      <c r="F54" s="66"/>
      <c r="G54" s="89"/>
      <c r="H54" s="66"/>
    </row>
    <row r="55" spans="3:33" x14ac:dyDescent="0.2">
      <c r="C55" s="66"/>
      <c r="D55" s="66"/>
      <c r="E55" s="66"/>
      <c r="F55" s="66"/>
      <c r="G55" s="89"/>
      <c r="H55" s="66"/>
      <c r="AA55" s="90"/>
      <c r="AB55" s="90"/>
      <c r="AC55" s="90"/>
    </row>
    <row r="56" spans="3:33" x14ac:dyDescent="0.2">
      <c r="C56" s="66"/>
      <c r="D56" s="66"/>
      <c r="E56" s="66"/>
      <c r="F56" s="66"/>
      <c r="G56" s="91"/>
      <c r="H56" s="66"/>
      <c r="AA56" s="90"/>
      <c r="AB56" s="92"/>
      <c r="AC56" s="90"/>
    </row>
    <row r="57" spans="3:33" x14ac:dyDescent="0.2">
      <c r="C57" s="66"/>
      <c r="D57" s="66"/>
      <c r="E57" s="66"/>
      <c r="F57" s="66"/>
      <c r="G57" s="62"/>
      <c r="H57" s="66"/>
      <c r="AA57" s="90"/>
      <c r="AB57" s="90"/>
      <c r="AC57" s="90"/>
    </row>
    <row r="58" spans="3:33" x14ac:dyDescent="0.2">
      <c r="C58" s="66"/>
      <c r="D58" s="66"/>
      <c r="E58" s="66"/>
      <c r="F58" s="66"/>
      <c r="G58" s="66"/>
      <c r="H58" s="66"/>
      <c r="AA58" s="90"/>
      <c r="AB58" s="90"/>
      <c r="AC58" s="90"/>
    </row>
    <row r="59" spans="3:33" x14ac:dyDescent="0.2">
      <c r="C59" s="66"/>
      <c r="D59" s="66"/>
      <c r="E59" s="66"/>
      <c r="F59" s="66"/>
      <c r="G59" s="89"/>
      <c r="H59" s="66"/>
    </row>
    <row r="60" spans="3:33" x14ac:dyDescent="0.2">
      <c r="C60" s="65"/>
      <c r="D60" s="66"/>
      <c r="E60" s="66"/>
      <c r="F60" s="66"/>
      <c r="G60" s="66"/>
      <c r="H60" s="66"/>
    </row>
    <row r="61" spans="3:33" x14ac:dyDescent="0.2">
      <c r="D61" s="62"/>
      <c r="E61" s="62"/>
      <c r="F61" s="62"/>
      <c r="G61" s="62"/>
      <c r="H61" s="62"/>
    </row>
    <row r="62" spans="3:33" x14ac:dyDescent="0.2">
      <c r="C62" s="66"/>
      <c r="D62" s="66"/>
      <c r="E62" s="66"/>
      <c r="F62" s="66"/>
      <c r="G62" s="91"/>
      <c r="H62" s="66"/>
    </row>
    <row r="63" spans="3:33" x14ac:dyDescent="0.2">
      <c r="C63" s="66"/>
      <c r="D63" s="66"/>
      <c r="E63" s="66"/>
      <c r="F63" s="66"/>
      <c r="G63" s="87"/>
      <c r="H63" s="66"/>
    </row>
    <row r="64" spans="3:33" x14ac:dyDescent="0.2">
      <c r="C64" s="66"/>
      <c r="D64" s="66"/>
      <c r="E64" s="66"/>
      <c r="F64" s="66"/>
      <c r="G64" s="89"/>
      <c r="H64" s="66"/>
    </row>
    <row r="66" spans="3:8" x14ac:dyDescent="0.2">
      <c r="C66" s="66"/>
      <c r="D66" s="66"/>
      <c r="E66" s="66"/>
      <c r="F66" s="66"/>
      <c r="G66" s="89"/>
      <c r="H66" s="66"/>
    </row>
  </sheetData>
  <sheetProtection selectLockedCells="1"/>
  <mergeCells count="4">
    <mergeCell ref="B6:D6"/>
    <mergeCell ref="G6:I6"/>
    <mergeCell ref="L6:N6"/>
    <mergeCell ref="G15:I15"/>
  </mergeCells>
  <dataValidations disablePrompts="1" count="1">
    <dataValidation type="whole" allowBlank="1" showInputMessage="1" showErrorMessage="1" sqref="C12">
      <formula1>1</formula1>
      <formula2>8</formula2>
    </dataValidation>
  </dataValidations>
  <pageMargins left="0.75" right="0.75" top="1" bottom="1" header="0.5" footer="0.5"/>
  <pageSetup paperSize="9" scale="72"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7">
    <tabColor rgb="FF92D050"/>
  </sheetPr>
  <dimension ref="A1:H1284"/>
  <sheetViews>
    <sheetView zoomScale="50" zoomScaleNormal="50" workbookViewId="0">
      <selection activeCell="B3" sqref="B3:B7"/>
    </sheetView>
  </sheetViews>
  <sheetFormatPr defaultColWidth="8.85546875" defaultRowHeight="12.75" x14ac:dyDescent="0.2"/>
  <cols>
    <col min="1" max="1" width="5.5703125" style="629" customWidth="1"/>
    <col min="2" max="2" width="215.7109375" style="629" customWidth="1"/>
    <col min="3" max="3" width="69.7109375" style="629" hidden="1" customWidth="1"/>
    <col min="4" max="4" width="108.7109375" style="629" hidden="1" customWidth="1"/>
    <col min="5" max="8" width="50.7109375" style="629" hidden="1" customWidth="1"/>
    <col min="9" max="10" width="50.7109375" style="631" customWidth="1"/>
    <col min="11" max="16384" width="8.85546875" style="631"/>
  </cols>
  <sheetData>
    <row r="1" spans="1:8" ht="37.15" customHeight="1" x14ac:dyDescent="0.2">
      <c r="A1" s="402"/>
      <c r="B1" s="402"/>
      <c r="C1" s="789" t="s">
        <v>609</v>
      </c>
      <c r="D1" s="790"/>
      <c r="E1" s="789" t="s">
        <v>2769</v>
      </c>
      <c r="F1" s="789"/>
      <c r="G1" s="789" t="s">
        <v>610</v>
      </c>
      <c r="H1" s="790"/>
    </row>
    <row r="2" spans="1:8" ht="58.15" customHeight="1" x14ac:dyDescent="0.2">
      <c r="A2" s="402"/>
      <c r="B2" s="402"/>
      <c r="C2" s="409" t="s">
        <v>1235</v>
      </c>
      <c r="D2" s="402"/>
      <c r="E2" s="409" t="s">
        <v>1235</v>
      </c>
      <c r="F2" s="409"/>
      <c r="G2" s="402" t="s">
        <v>1235</v>
      </c>
      <c r="H2" s="628"/>
    </row>
    <row r="3" spans="1:8" ht="409.15" customHeight="1" x14ac:dyDescent="0.2">
      <c r="A3" s="402"/>
      <c r="B3" s="786" t="str">
        <f>IF(B12=C1,IF(B13=C2,D3,C3),IF(B12=E1,IF(B13=E2,E3,F3),IF(B12=G1,IF(B13=G2,G3,H3),"")))</f>
        <v xml:space="preserve">heaterSteam suggested standard Tender Text (UR*3 titanium)
heaterSteam UR*3 titanium
Immersed-resistances steam humidifier for ambient and AHU/duct using drinkable mains water, demineralised water or deionised water. Humidifier heats and boils the water in a stainless steel cylinder. The steam generated is hygienically pure (aseptic). 
Main technical specs:
Rated steam production …………….………kg/h
Rated power input …………………………..kW
Power supply …………..…………………..VAC 1-phase / 3-phase
No. of steam outlets …….…………………….
Steam outlet diameter ……………….……..mm
Steam pressure……………….………….…..Pa
Supply water connection…………..…3/4” G MALE
Drain connection…………….……………..……40 mm
Accessories for duct installations:
Steam lance made of AISI304 with fitting flange and condensate outlet; length …….mm
Steam nozzle distributor
Accessories for ambient installations:
Steam distributor with embedded blower, powder-painted metallic enclosure and air flow deflector for an even distribution of the steam into the ambient.
Humidifiers shall have the following characteristics (2, 4, 6, 10, 13, 20, 27, 40, 53, 60, 80 kg/h):
• Electric resistances made in titanium with low thermal resistance for fast response, stability of production and safety against overheating;
• Water level sensor for the precise control of the water level on the entire conductivity range 0…1500µS/cm, without any change or additional board;
• Each element shall have 1 patented PTC to detect and protect against overheating (patented); 
• User-editable configuration of the controller for the high-accuracy control of the humidity (± 1%rH);
• Steam capacity shall be continuously controlled in the range 0..100% of the rated production;
• Humidifier shall be suitable for any type of water: tap, demineralised, deionised and softener (≤1µS/cm heaterSteam titanium is needed);
• Over-temperature protection on boiler cap (klixon, UR020-UR080);
• Models 2-13 kg/h: the boiler shall be made of AISI304 stainless steel, openable for maintenance; models 20-80 kg/h: the boiler shall be made of AISI304 stainless steel, with the lid and a bottom front inspection panel removable for easy servicing;
• Embedded conductimeter for the automatic management of the dilution drains and subsequent fills according to the supply water quality;
• SSR’s (solid-state relays) for precise modulation of the steam production by dosing the power fed to the water;
• Patented antifoam algorithm (AFS) to prevent irregular operation due to the formation of foam inside the cylinder;
• The steam generator shall also have twin sensing electrodes for detection of water foaming and high limit water level;
• Boiler thermal coating to reduce the heat loss;
• Thermal shock feature, removing lime scale from the heating elements, extends the cleaning intervals and makes maintenance quicker;
• Kevlar limescale bag inside the boiler for easy and quick maintenance (up to 13kg/h); doesn’t need any additional gaskets;
• Boiler’s water temperature probe (NTC);
• Pre-heating to keep the water warm in order to reduce the time to production (user-editable pre-heating set point);
• The humidifier shall limit the steam production based on a proportional hi-limit probe that is self-adjusting according to AHU/duct air flow;
• Humidifier shall have built-in power transformer, no needs of neutral line on power supply or additional external transformer;
• Metallic housing with cover removable to allow full front access for easy maintenance;
• Electrical section separated by a division wall and including the power circuitry and the control components, manufactured according to state-of-the-art norms;
• The built-in USB port can be used for easy software updates, log file and alarm history extraction. Copy and paste parameters between units;
• ON/OFF digital input for remote enabling;
• Intelligent microprocessor controller with algorithm that automatically adapts operation to the water quality;
• 4 built-in relays for remote signalling of: alarm relay, unit status relay (steam production), unit on/off, fan blower relay;
• The type of electric signal shall be selectable via keyboard among: on/off (humidistat), 0…10 V, 2…10 V, 0…1 V, 0…20 mA, 4…20 mA and NTC (in case of temperature regulation); 
• RS485 serial port ready to communicate on Modbus, Bacnet or CAREL protocol for supervisory system. Without any additional devices;
• Ethernet port ready to communicate on Modbus or Bacnet protocol for supervisory system.  Without any additional devices;
• Strat-up wizard for simple step-by-step machine configuration during first commissioning;
• Type of controller: control with 9 algorithms always available to the user: on/off, production proportional to an external demand,  production proportional to an external demand with modulating limiting probe, built-in %rH regulator with ambient probe, built-in %rH regulator with ambient probe and modulating limiting probe, built-in %rH regulator with two ambient probes (average), built-in temperature (°C/°F) regulator with ambient probe, built-in temperature (°C/°F) regulator with two ambient probes (average), built-in temperature (°C/°F) regulator with ambient and modulating limiting probe;
• Master-slave capability to extend the capacity with automatic rotation of units;
• Integrated backup of the unit for applications that require continuous service and non-stop humidification; 
• Maintenance backup to automatic start the second unit during the sevices; 
• Management of wireless probes (up to 4 ) to avoid cables into the building. User-editable of probes weight;
• Plug&amp;play web server for monitoring and setting of unit from remote position;
• Keyboard to change the displayed value, edit the system parameters, reset the alarms;
• Display of the supply water conductivity;
• Selection of the units of measure (SI or Imperial);
• Automatic check of valve, pump, water level sensor, presence of supply water at the start-up;
• Automatic management of the lack of supply water with automatic restart when the water is available again;
• Automatic maintenance warning;
• Drain pump for full range of capacity (2…80 kg/h) that helps to remove debris;
• The boiler shall be automatically emptied in case of prolonged inactivity, with the inactivity time-out being user-editable;
• Compliances: CE, ETL, TÜV PRODUCT SERVICE, EAC;
• [optional] wall-mounting %rH probe for civil environment (10 %rH … 90 %rH)
• [optional] %rH &amp; temperature industrial probe min. IP54 (0 %rH … 100 %rH, -10T70 °C)
• [optional] %rH probe for duct min. IP40 (10 %rH … 90 %rH)
• [optional] %rH limit probe for duct min. IP40 (0 %rH … 100 %rH)
</v>
      </c>
      <c r="C3" s="793" t="s">
        <v>3535</v>
      </c>
      <c r="D3" s="787" t="s">
        <v>3536</v>
      </c>
      <c r="E3" s="787" t="s">
        <v>2984</v>
      </c>
      <c r="F3" s="787" t="s">
        <v>2983</v>
      </c>
      <c r="G3" s="787" t="s">
        <v>2986</v>
      </c>
      <c r="H3" s="791" t="s">
        <v>2985</v>
      </c>
    </row>
    <row r="4" spans="1:8" ht="409.15" customHeight="1" x14ac:dyDescent="0.2">
      <c r="A4" s="402"/>
      <c r="B4" s="786"/>
      <c r="C4" s="793"/>
      <c r="D4" s="788"/>
      <c r="E4" s="787"/>
      <c r="F4" s="788"/>
      <c r="G4" s="788"/>
      <c r="H4" s="792"/>
    </row>
    <row r="5" spans="1:8" ht="409.15" customHeight="1" x14ac:dyDescent="0.2">
      <c r="A5" s="402"/>
      <c r="B5" s="786"/>
      <c r="C5" s="793"/>
      <c r="D5" s="788"/>
      <c r="E5" s="787"/>
      <c r="F5" s="788"/>
      <c r="G5" s="788"/>
      <c r="H5" s="792"/>
    </row>
    <row r="6" spans="1:8" ht="409.15" customHeight="1" x14ac:dyDescent="0.2">
      <c r="A6" s="402"/>
      <c r="B6" s="786"/>
      <c r="C6" s="793"/>
      <c r="D6" s="788"/>
      <c r="E6" s="787"/>
      <c r="F6" s="788"/>
      <c r="G6" s="788"/>
      <c r="H6" s="792"/>
    </row>
    <row r="7" spans="1:8" ht="409.15" customHeight="1" x14ac:dyDescent="0.2">
      <c r="A7" s="630"/>
      <c r="B7" s="786"/>
      <c r="C7" s="793"/>
      <c r="D7" s="788"/>
      <c r="E7" s="787"/>
      <c r="F7" s="788"/>
      <c r="G7" s="788"/>
      <c r="H7" s="792"/>
    </row>
    <row r="8" spans="1:8" x14ac:dyDescent="0.2">
      <c r="A8" s="631"/>
      <c r="B8" s="631"/>
      <c r="C8" s="631"/>
      <c r="D8" s="631"/>
      <c r="E8" s="631"/>
      <c r="F8" s="631"/>
      <c r="G8" s="631"/>
      <c r="H8" s="631"/>
    </row>
    <row r="9" spans="1:8" x14ac:dyDescent="0.2">
      <c r="A9" s="631"/>
      <c r="B9" s="631"/>
      <c r="C9" s="631"/>
      <c r="D9" s="631"/>
      <c r="E9" s="631"/>
      <c r="F9" s="631"/>
      <c r="G9" s="631"/>
      <c r="H9" s="631"/>
    </row>
    <row r="10" spans="1:8" x14ac:dyDescent="0.2">
      <c r="A10" s="631"/>
      <c r="B10" s="631"/>
      <c r="C10" s="631"/>
      <c r="D10" s="631"/>
      <c r="E10" s="631"/>
      <c r="F10" s="631"/>
      <c r="G10" s="631"/>
      <c r="H10" s="631"/>
    </row>
    <row r="11" spans="1:8" x14ac:dyDescent="0.2">
      <c r="A11" s="631"/>
      <c r="B11" s="631"/>
      <c r="C11" s="631"/>
      <c r="D11" s="631"/>
      <c r="E11" s="631"/>
      <c r="F11" s="631"/>
      <c r="G11" s="631"/>
      <c r="H11" s="631"/>
    </row>
    <row r="12" spans="1:8" hidden="1" x14ac:dyDescent="0.2">
      <c r="A12" s="631"/>
      <c r="B12" s="632" t="str">
        <f>MID(DESIGN!F110,1,2)</f>
        <v>UR</v>
      </c>
      <c r="C12" s="631"/>
      <c r="D12" s="631"/>
      <c r="E12" s="631"/>
      <c r="F12" s="631"/>
      <c r="G12" s="631"/>
      <c r="H12" s="631"/>
    </row>
    <row r="13" spans="1:8" hidden="1" x14ac:dyDescent="0.2">
      <c r="A13" s="631"/>
      <c r="B13" s="632" t="str">
        <f>DESIGN!E26</f>
        <v>ENGLISH</v>
      </c>
      <c r="C13" s="631"/>
      <c r="D13" s="631"/>
      <c r="E13" s="631"/>
      <c r="F13" s="631"/>
      <c r="G13" s="631"/>
      <c r="H13" s="631"/>
    </row>
    <row r="14" spans="1:8" x14ac:dyDescent="0.2">
      <c r="A14" s="631"/>
      <c r="B14" s="631"/>
      <c r="C14" s="631"/>
      <c r="D14" s="631"/>
      <c r="E14" s="631"/>
      <c r="F14" s="631"/>
      <c r="G14" s="631"/>
      <c r="H14" s="631"/>
    </row>
    <row r="15" spans="1:8" x14ac:dyDescent="0.2">
      <c r="A15" s="631"/>
      <c r="B15" s="631"/>
      <c r="C15" s="631"/>
      <c r="D15" s="631"/>
      <c r="E15" s="631"/>
      <c r="F15" s="631"/>
      <c r="G15" s="631"/>
      <c r="H15" s="631"/>
    </row>
    <row r="16" spans="1:8" x14ac:dyDescent="0.2">
      <c r="A16" s="631"/>
      <c r="B16" s="631"/>
      <c r="C16" s="631"/>
      <c r="D16" s="631"/>
      <c r="E16" s="631"/>
      <c r="F16" s="631"/>
      <c r="G16" s="631"/>
      <c r="H16" s="631"/>
    </row>
    <row r="17" spans="1:8" x14ac:dyDescent="0.2">
      <c r="A17" s="631"/>
      <c r="B17" s="631"/>
      <c r="C17" s="631"/>
      <c r="D17" s="631"/>
      <c r="E17" s="631"/>
      <c r="F17" s="631"/>
      <c r="G17" s="631"/>
      <c r="H17" s="631"/>
    </row>
    <row r="18" spans="1:8" x14ac:dyDescent="0.2">
      <c r="A18" s="631"/>
      <c r="B18" s="631"/>
      <c r="C18" s="631"/>
      <c r="D18" s="631"/>
      <c r="E18" s="631"/>
      <c r="F18" s="631"/>
      <c r="G18" s="631"/>
      <c r="H18" s="631"/>
    </row>
    <row r="19" spans="1:8" x14ac:dyDescent="0.2">
      <c r="A19" s="631"/>
      <c r="B19" s="631"/>
      <c r="C19" s="631"/>
      <c r="D19" s="631"/>
      <c r="E19" s="631"/>
      <c r="F19" s="631"/>
      <c r="G19" s="631"/>
      <c r="H19" s="631"/>
    </row>
    <row r="20" spans="1:8" x14ac:dyDescent="0.2">
      <c r="A20" s="631"/>
      <c r="B20" s="631"/>
      <c r="C20" s="631"/>
      <c r="D20" s="631"/>
      <c r="E20" s="631"/>
      <c r="F20" s="631"/>
      <c r="G20" s="631"/>
      <c r="H20" s="631"/>
    </row>
    <row r="21" spans="1:8" x14ac:dyDescent="0.2">
      <c r="A21" s="631"/>
      <c r="B21" s="631"/>
      <c r="C21" s="631"/>
      <c r="D21" s="631"/>
      <c r="E21" s="631"/>
      <c r="F21" s="631"/>
      <c r="G21" s="631"/>
      <c r="H21" s="631"/>
    </row>
    <row r="22" spans="1:8" x14ac:dyDescent="0.2">
      <c r="A22" s="631"/>
      <c r="B22" s="631"/>
      <c r="C22" s="631"/>
      <c r="D22" s="631"/>
      <c r="E22" s="631"/>
      <c r="F22" s="631"/>
      <c r="G22" s="631"/>
      <c r="H22" s="631"/>
    </row>
    <row r="23" spans="1:8" x14ac:dyDescent="0.2">
      <c r="A23" s="631"/>
      <c r="B23" s="631"/>
      <c r="C23" s="631"/>
      <c r="D23" s="631"/>
      <c r="E23" s="631"/>
      <c r="F23" s="631"/>
      <c r="G23" s="631"/>
      <c r="H23" s="631"/>
    </row>
    <row r="24" spans="1:8" x14ac:dyDescent="0.2">
      <c r="A24" s="631"/>
      <c r="B24" s="631"/>
      <c r="C24" s="631"/>
      <c r="D24" s="631"/>
      <c r="E24" s="631"/>
      <c r="F24" s="631"/>
      <c r="G24" s="631"/>
      <c r="H24" s="631"/>
    </row>
    <row r="25" spans="1:8" x14ac:dyDescent="0.2">
      <c r="A25" s="631"/>
      <c r="B25" s="631"/>
      <c r="C25" s="631"/>
      <c r="D25" s="631"/>
      <c r="E25" s="631"/>
      <c r="F25" s="631"/>
      <c r="G25" s="631"/>
      <c r="H25" s="631"/>
    </row>
    <row r="26" spans="1:8" x14ac:dyDescent="0.2">
      <c r="A26" s="631"/>
      <c r="B26" s="631"/>
      <c r="C26" s="631"/>
      <c r="D26" s="631"/>
      <c r="E26" s="631"/>
      <c r="F26" s="631"/>
      <c r="G26" s="631"/>
      <c r="H26" s="631"/>
    </row>
    <row r="27" spans="1:8" x14ac:dyDescent="0.2">
      <c r="A27" s="631"/>
      <c r="B27" s="631"/>
      <c r="C27" s="631"/>
      <c r="D27" s="631"/>
      <c r="E27" s="631"/>
      <c r="F27" s="631"/>
      <c r="G27" s="631"/>
      <c r="H27" s="631"/>
    </row>
    <row r="28" spans="1:8" x14ac:dyDescent="0.2">
      <c r="A28" s="631"/>
      <c r="B28" s="631"/>
      <c r="C28" s="631"/>
      <c r="D28" s="631"/>
      <c r="E28" s="631"/>
      <c r="F28" s="631"/>
      <c r="G28" s="631"/>
      <c r="H28" s="631"/>
    </row>
    <row r="29" spans="1:8" x14ac:dyDescent="0.2">
      <c r="A29" s="631"/>
      <c r="B29" s="631"/>
      <c r="C29" s="631"/>
      <c r="D29" s="631"/>
      <c r="E29" s="631"/>
      <c r="F29" s="631"/>
      <c r="G29" s="631"/>
      <c r="H29" s="631"/>
    </row>
    <row r="30" spans="1:8" x14ac:dyDescent="0.2">
      <c r="A30" s="631"/>
      <c r="B30" s="631"/>
      <c r="C30" s="631"/>
      <c r="D30" s="631"/>
      <c r="E30" s="631"/>
      <c r="F30" s="631"/>
      <c r="G30" s="631"/>
      <c r="H30" s="631"/>
    </row>
    <row r="31" spans="1:8" x14ac:dyDescent="0.2">
      <c r="A31" s="631"/>
      <c r="B31" s="631"/>
      <c r="C31" s="631"/>
      <c r="D31" s="631"/>
      <c r="E31" s="631"/>
      <c r="F31" s="631"/>
      <c r="G31" s="631"/>
      <c r="H31" s="631"/>
    </row>
    <row r="32" spans="1:8" x14ac:dyDescent="0.2">
      <c r="A32" s="631"/>
      <c r="B32" s="631"/>
      <c r="C32" s="631"/>
      <c r="D32" s="631"/>
      <c r="E32" s="631"/>
      <c r="F32" s="631"/>
      <c r="G32" s="631"/>
      <c r="H32" s="631"/>
    </row>
    <row r="33" spans="1:8" x14ac:dyDescent="0.2">
      <c r="A33" s="631"/>
      <c r="B33" s="631"/>
      <c r="C33" s="631"/>
      <c r="D33" s="631"/>
      <c r="E33" s="631"/>
      <c r="F33" s="631"/>
      <c r="G33" s="631"/>
      <c r="H33" s="631"/>
    </row>
    <row r="34" spans="1:8" x14ac:dyDescent="0.2">
      <c r="A34" s="631"/>
      <c r="B34" s="631"/>
      <c r="C34" s="631"/>
      <c r="D34" s="631"/>
      <c r="E34" s="631"/>
      <c r="F34" s="631"/>
      <c r="G34" s="631"/>
      <c r="H34" s="631"/>
    </row>
    <row r="35" spans="1:8" x14ac:dyDescent="0.2">
      <c r="A35" s="631"/>
      <c r="B35" s="631"/>
      <c r="C35" s="631"/>
      <c r="D35" s="631"/>
      <c r="E35" s="631"/>
      <c r="F35" s="631"/>
      <c r="G35" s="631"/>
      <c r="H35" s="631"/>
    </row>
    <row r="36" spans="1:8" x14ac:dyDescent="0.2">
      <c r="A36" s="631"/>
      <c r="B36" s="631"/>
      <c r="C36" s="631"/>
      <c r="D36" s="631"/>
      <c r="E36" s="631"/>
      <c r="F36" s="631"/>
      <c r="G36" s="631"/>
      <c r="H36" s="631"/>
    </row>
    <row r="37" spans="1:8" x14ac:dyDescent="0.2">
      <c r="A37" s="631"/>
      <c r="B37" s="631"/>
      <c r="C37" s="631"/>
      <c r="D37" s="631"/>
      <c r="E37" s="631"/>
      <c r="F37" s="631"/>
      <c r="G37" s="631"/>
      <c r="H37" s="631"/>
    </row>
    <row r="38" spans="1:8" x14ac:dyDescent="0.2">
      <c r="A38" s="631"/>
      <c r="B38" s="631"/>
      <c r="C38" s="631"/>
      <c r="D38" s="631"/>
      <c r="E38" s="631"/>
      <c r="F38" s="631"/>
      <c r="G38" s="631"/>
      <c r="H38" s="631"/>
    </row>
    <row r="39" spans="1:8" x14ac:dyDescent="0.2">
      <c r="A39" s="631"/>
      <c r="B39" s="631"/>
      <c r="C39" s="631"/>
      <c r="D39" s="631"/>
      <c r="E39" s="631"/>
      <c r="F39" s="631"/>
      <c r="G39" s="631"/>
      <c r="H39" s="631"/>
    </row>
    <row r="40" spans="1:8" x14ac:dyDescent="0.2">
      <c r="A40" s="631"/>
      <c r="B40" s="631"/>
      <c r="C40" s="631"/>
      <c r="D40" s="631"/>
      <c r="E40" s="631"/>
      <c r="F40" s="631"/>
      <c r="G40" s="631"/>
      <c r="H40" s="631"/>
    </row>
    <row r="41" spans="1:8" x14ac:dyDescent="0.2">
      <c r="A41" s="631"/>
      <c r="B41" s="631"/>
      <c r="C41" s="631"/>
      <c r="D41" s="631"/>
      <c r="E41" s="631"/>
      <c r="F41" s="631"/>
      <c r="G41" s="631"/>
      <c r="H41" s="631"/>
    </row>
    <row r="42" spans="1:8" x14ac:dyDescent="0.2">
      <c r="A42" s="631"/>
      <c r="B42" s="631"/>
      <c r="C42" s="631"/>
      <c r="D42" s="631"/>
      <c r="E42" s="631"/>
      <c r="F42" s="631"/>
      <c r="G42" s="631"/>
      <c r="H42" s="631"/>
    </row>
    <row r="43" spans="1:8" x14ac:dyDescent="0.2">
      <c r="A43" s="631"/>
      <c r="B43" s="631"/>
      <c r="C43" s="631"/>
      <c r="D43" s="631"/>
      <c r="E43" s="631"/>
      <c r="F43" s="631"/>
      <c r="G43" s="631"/>
      <c r="H43" s="631"/>
    </row>
    <row r="44" spans="1:8" x14ac:dyDescent="0.2">
      <c r="A44" s="631"/>
      <c r="B44" s="631"/>
      <c r="C44" s="631"/>
      <c r="D44" s="631"/>
      <c r="E44" s="631"/>
      <c r="F44" s="631"/>
      <c r="G44" s="631"/>
      <c r="H44" s="631"/>
    </row>
    <row r="45" spans="1:8" x14ac:dyDescent="0.2">
      <c r="A45" s="631"/>
      <c r="B45" s="631"/>
      <c r="C45" s="631"/>
      <c r="D45" s="631"/>
      <c r="E45" s="631"/>
      <c r="F45" s="631"/>
      <c r="G45" s="631"/>
      <c r="H45" s="631"/>
    </row>
    <row r="46" spans="1:8" x14ac:dyDescent="0.2">
      <c r="A46" s="631"/>
      <c r="B46" s="631"/>
      <c r="C46" s="631"/>
      <c r="D46" s="631"/>
      <c r="E46" s="631"/>
      <c r="F46" s="631"/>
      <c r="G46" s="631"/>
      <c r="H46" s="631"/>
    </row>
    <row r="47" spans="1:8" x14ac:dyDescent="0.2">
      <c r="A47" s="631"/>
      <c r="B47" s="631"/>
      <c r="C47" s="631"/>
      <c r="D47" s="631"/>
      <c r="E47" s="631"/>
      <c r="F47" s="631"/>
      <c r="G47" s="631"/>
      <c r="H47" s="631"/>
    </row>
    <row r="48" spans="1:8" x14ac:dyDescent="0.2">
      <c r="A48" s="631"/>
      <c r="B48" s="631"/>
      <c r="C48" s="631"/>
      <c r="D48" s="631"/>
      <c r="E48" s="631"/>
      <c r="F48" s="631"/>
      <c r="G48" s="631"/>
      <c r="H48" s="631"/>
    </row>
    <row r="49" spans="1:8" x14ac:dyDescent="0.2">
      <c r="A49" s="631"/>
      <c r="B49" s="631"/>
      <c r="C49" s="631"/>
      <c r="D49" s="631"/>
      <c r="E49" s="631"/>
      <c r="F49" s="631"/>
      <c r="G49" s="631"/>
      <c r="H49" s="631"/>
    </row>
    <row r="50" spans="1:8" x14ac:dyDescent="0.2">
      <c r="A50" s="631"/>
      <c r="B50" s="631"/>
      <c r="C50" s="631"/>
      <c r="D50" s="631"/>
      <c r="E50" s="631"/>
      <c r="F50" s="631"/>
      <c r="G50" s="631"/>
      <c r="H50" s="631"/>
    </row>
    <row r="51" spans="1:8" x14ac:dyDescent="0.2">
      <c r="A51" s="631"/>
      <c r="B51" s="631"/>
      <c r="C51" s="631"/>
      <c r="D51" s="631"/>
      <c r="E51" s="631"/>
      <c r="F51" s="631"/>
      <c r="G51" s="631"/>
      <c r="H51" s="631"/>
    </row>
    <row r="52" spans="1:8" x14ac:dyDescent="0.2">
      <c r="A52" s="631"/>
      <c r="B52" s="631"/>
      <c r="C52" s="631"/>
      <c r="D52" s="631"/>
      <c r="E52" s="631"/>
      <c r="F52" s="631"/>
      <c r="G52" s="631"/>
      <c r="H52" s="631"/>
    </row>
    <row r="53" spans="1:8" x14ac:dyDescent="0.2">
      <c r="A53" s="631"/>
      <c r="B53" s="631"/>
      <c r="C53" s="631"/>
      <c r="D53" s="631"/>
      <c r="E53" s="631"/>
      <c r="F53" s="631"/>
      <c r="G53" s="631"/>
      <c r="H53" s="631"/>
    </row>
    <row r="54" spans="1:8" x14ac:dyDescent="0.2">
      <c r="A54" s="631"/>
      <c r="B54" s="631"/>
      <c r="C54" s="631"/>
      <c r="D54" s="631"/>
      <c r="E54" s="631"/>
      <c r="F54" s="631"/>
      <c r="G54" s="631"/>
      <c r="H54" s="631"/>
    </row>
    <row r="55" spans="1:8" x14ac:dyDescent="0.2">
      <c r="A55" s="631"/>
      <c r="B55" s="631"/>
      <c r="C55" s="631"/>
      <c r="D55" s="631"/>
      <c r="E55" s="631"/>
      <c r="F55" s="631"/>
      <c r="G55" s="631"/>
      <c r="H55" s="631"/>
    </row>
    <row r="56" spans="1:8" x14ac:dyDescent="0.2">
      <c r="A56" s="631"/>
      <c r="B56" s="631"/>
      <c r="C56" s="631"/>
      <c r="D56" s="631"/>
      <c r="E56" s="631"/>
      <c r="F56" s="631"/>
      <c r="G56" s="631"/>
      <c r="H56" s="631"/>
    </row>
    <row r="57" spans="1:8" x14ac:dyDescent="0.2">
      <c r="A57" s="631"/>
      <c r="B57" s="631"/>
      <c r="C57" s="631"/>
      <c r="D57" s="631"/>
      <c r="E57" s="631"/>
      <c r="F57" s="631"/>
      <c r="G57" s="631"/>
      <c r="H57" s="631"/>
    </row>
    <row r="58" spans="1:8" x14ac:dyDescent="0.2">
      <c r="A58" s="631"/>
      <c r="B58" s="631"/>
      <c r="C58" s="631"/>
      <c r="D58" s="631"/>
      <c r="E58" s="631"/>
      <c r="F58" s="631"/>
      <c r="G58" s="631"/>
      <c r="H58" s="631"/>
    </row>
    <row r="59" spans="1:8" x14ac:dyDescent="0.2">
      <c r="A59" s="631"/>
      <c r="B59" s="631"/>
      <c r="C59" s="631"/>
      <c r="D59" s="631"/>
      <c r="E59" s="631"/>
      <c r="F59" s="631"/>
      <c r="G59" s="631"/>
      <c r="H59" s="631"/>
    </row>
    <row r="60" spans="1:8" x14ac:dyDescent="0.2">
      <c r="A60" s="631"/>
      <c r="B60" s="631"/>
      <c r="C60" s="631"/>
      <c r="D60" s="631"/>
      <c r="E60" s="631"/>
      <c r="F60" s="631"/>
      <c r="G60" s="631"/>
      <c r="H60" s="631"/>
    </row>
    <row r="61" spans="1:8" x14ac:dyDescent="0.2">
      <c r="A61" s="631"/>
      <c r="B61" s="631"/>
      <c r="C61" s="631"/>
      <c r="D61" s="631"/>
      <c r="E61" s="631"/>
      <c r="F61" s="631"/>
      <c r="G61" s="631"/>
      <c r="H61" s="631"/>
    </row>
    <row r="62" spans="1:8" x14ac:dyDescent="0.2">
      <c r="A62" s="631"/>
      <c r="B62" s="631"/>
      <c r="C62" s="631"/>
      <c r="D62" s="631"/>
      <c r="E62" s="631"/>
      <c r="F62" s="631"/>
      <c r="G62" s="631"/>
      <c r="H62" s="631"/>
    </row>
    <row r="63" spans="1:8" x14ac:dyDescent="0.2">
      <c r="A63" s="631"/>
      <c r="B63" s="631"/>
      <c r="C63" s="631"/>
      <c r="D63" s="631"/>
      <c r="E63" s="631"/>
      <c r="F63" s="631"/>
      <c r="G63" s="631"/>
      <c r="H63" s="631"/>
    </row>
    <row r="64" spans="1:8" x14ac:dyDescent="0.2">
      <c r="A64" s="631"/>
      <c r="B64" s="631"/>
      <c r="C64" s="631"/>
      <c r="D64" s="631"/>
      <c r="E64" s="631"/>
      <c r="F64" s="631"/>
      <c r="G64" s="631"/>
      <c r="H64" s="631"/>
    </row>
    <row r="65" spans="1:8" x14ac:dyDescent="0.2">
      <c r="A65" s="631"/>
      <c r="B65" s="631"/>
      <c r="C65" s="631"/>
      <c r="D65" s="631"/>
      <c r="E65" s="631"/>
      <c r="F65" s="631"/>
      <c r="G65" s="631"/>
      <c r="H65" s="631"/>
    </row>
    <row r="66" spans="1:8" x14ac:dyDescent="0.2">
      <c r="A66" s="631"/>
      <c r="B66" s="631"/>
      <c r="C66" s="631"/>
      <c r="D66" s="631"/>
      <c r="E66" s="631"/>
      <c r="F66" s="631"/>
      <c r="G66" s="631"/>
      <c r="H66" s="631"/>
    </row>
    <row r="67" spans="1:8" x14ac:dyDescent="0.2">
      <c r="A67" s="631"/>
      <c r="B67" s="631"/>
      <c r="C67" s="631"/>
      <c r="D67" s="631"/>
      <c r="E67" s="631"/>
      <c r="F67" s="631"/>
      <c r="G67" s="631"/>
      <c r="H67" s="631"/>
    </row>
    <row r="68" spans="1:8" x14ac:dyDescent="0.2">
      <c r="A68" s="631"/>
      <c r="B68" s="631"/>
      <c r="C68" s="631"/>
      <c r="D68" s="631"/>
      <c r="E68" s="631"/>
      <c r="F68" s="631"/>
      <c r="G68" s="631"/>
      <c r="H68" s="631"/>
    </row>
    <row r="69" spans="1:8" x14ac:dyDescent="0.2">
      <c r="A69" s="631"/>
      <c r="B69" s="631"/>
      <c r="C69" s="631"/>
      <c r="D69" s="631"/>
      <c r="E69" s="631"/>
      <c r="F69" s="631"/>
      <c r="G69" s="631"/>
      <c r="H69" s="631"/>
    </row>
    <row r="70" spans="1:8" x14ac:dyDescent="0.2">
      <c r="A70" s="631"/>
      <c r="B70" s="631"/>
      <c r="C70" s="631"/>
      <c r="D70" s="631"/>
      <c r="E70" s="631"/>
      <c r="F70" s="631"/>
      <c r="G70" s="631"/>
      <c r="H70" s="631"/>
    </row>
    <row r="71" spans="1:8" x14ac:dyDescent="0.2">
      <c r="A71" s="631"/>
      <c r="B71" s="631"/>
      <c r="C71" s="631"/>
      <c r="D71" s="631"/>
      <c r="E71" s="631"/>
      <c r="F71" s="631"/>
      <c r="G71" s="631"/>
      <c r="H71" s="631"/>
    </row>
    <row r="72" spans="1:8" x14ac:dyDescent="0.2">
      <c r="A72" s="631"/>
      <c r="B72" s="631"/>
      <c r="C72" s="631"/>
      <c r="D72" s="631"/>
      <c r="E72" s="631"/>
      <c r="F72" s="631"/>
      <c r="G72" s="631"/>
      <c r="H72" s="631"/>
    </row>
    <row r="73" spans="1:8" x14ac:dyDescent="0.2">
      <c r="A73" s="631"/>
      <c r="B73" s="631"/>
      <c r="C73" s="631"/>
      <c r="D73" s="631"/>
      <c r="E73" s="631"/>
      <c r="F73" s="631"/>
      <c r="G73" s="631"/>
      <c r="H73" s="631"/>
    </row>
    <row r="74" spans="1:8" x14ac:dyDescent="0.2">
      <c r="A74" s="631"/>
      <c r="B74" s="631"/>
      <c r="C74" s="631"/>
      <c r="D74" s="631"/>
      <c r="E74" s="631"/>
      <c r="F74" s="631"/>
      <c r="G74" s="631"/>
      <c r="H74" s="631"/>
    </row>
    <row r="75" spans="1:8" x14ac:dyDescent="0.2">
      <c r="A75" s="631"/>
      <c r="B75" s="631"/>
      <c r="C75" s="631"/>
      <c r="D75" s="631"/>
      <c r="E75" s="631"/>
      <c r="F75" s="631"/>
      <c r="G75" s="631"/>
      <c r="H75" s="631"/>
    </row>
    <row r="76" spans="1:8" x14ac:dyDescent="0.2">
      <c r="A76" s="631"/>
      <c r="B76" s="631"/>
      <c r="C76" s="631"/>
      <c r="D76" s="631"/>
      <c r="E76" s="631"/>
      <c r="F76" s="631"/>
      <c r="G76" s="631"/>
      <c r="H76" s="631"/>
    </row>
    <row r="77" spans="1:8" x14ac:dyDescent="0.2">
      <c r="A77" s="631"/>
      <c r="B77" s="631"/>
      <c r="C77" s="631"/>
      <c r="D77" s="631"/>
      <c r="E77" s="631"/>
      <c r="F77" s="631"/>
      <c r="G77" s="631"/>
      <c r="H77" s="631"/>
    </row>
    <row r="78" spans="1:8" x14ac:dyDescent="0.2">
      <c r="A78" s="631"/>
      <c r="B78" s="631"/>
      <c r="C78" s="631"/>
      <c r="D78" s="631"/>
      <c r="E78" s="631"/>
      <c r="F78" s="631"/>
      <c r="G78" s="631"/>
      <c r="H78" s="631"/>
    </row>
    <row r="79" spans="1:8" x14ac:dyDescent="0.2">
      <c r="A79" s="631"/>
      <c r="B79" s="631"/>
      <c r="C79" s="631"/>
      <c r="D79" s="631"/>
      <c r="E79" s="631"/>
      <c r="F79" s="631"/>
      <c r="G79" s="631"/>
      <c r="H79" s="631"/>
    </row>
    <row r="80" spans="1:8" x14ac:dyDescent="0.2">
      <c r="A80" s="631"/>
      <c r="B80" s="631"/>
      <c r="C80" s="631"/>
      <c r="D80" s="631"/>
      <c r="E80" s="631"/>
      <c r="F80" s="631"/>
      <c r="G80" s="631"/>
      <c r="H80" s="631"/>
    </row>
    <row r="81" spans="1:8" x14ac:dyDescent="0.2">
      <c r="A81" s="631"/>
      <c r="B81" s="631"/>
      <c r="C81" s="631"/>
      <c r="D81" s="631"/>
      <c r="E81" s="631"/>
      <c r="F81" s="631"/>
      <c r="G81" s="631"/>
      <c r="H81" s="631"/>
    </row>
    <row r="82" spans="1:8" x14ac:dyDescent="0.2">
      <c r="A82" s="631"/>
      <c r="B82" s="631"/>
      <c r="C82" s="631"/>
      <c r="D82" s="631"/>
      <c r="E82" s="631"/>
      <c r="F82" s="631"/>
      <c r="G82" s="631"/>
      <c r="H82" s="631"/>
    </row>
    <row r="83" spans="1:8" x14ac:dyDescent="0.2">
      <c r="A83" s="631"/>
      <c r="B83" s="631"/>
      <c r="C83" s="631"/>
      <c r="D83" s="631"/>
      <c r="E83" s="631"/>
      <c r="F83" s="631"/>
      <c r="G83" s="631"/>
      <c r="H83" s="631"/>
    </row>
    <row r="84" spans="1:8" x14ac:dyDescent="0.2">
      <c r="A84" s="631"/>
      <c r="B84" s="631"/>
      <c r="C84" s="631"/>
      <c r="D84" s="631"/>
      <c r="E84" s="631"/>
      <c r="F84" s="631"/>
      <c r="G84" s="631"/>
      <c r="H84" s="631"/>
    </row>
    <row r="85" spans="1:8" x14ac:dyDescent="0.2">
      <c r="A85" s="631"/>
      <c r="B85" s="631"/>
      <c r="C85" s="631"/>
      <c r="D85" s="631"/>
      <c r="E85" s="631"/>
      <c r="F85" s="631"/>
      <c r="G85" s="631"/>
      <c r="H85" s="631"/>
    </row>
    <row r="86" spans="1:8" x14ac:dyDescent="0.2">
      <c r="A86" s="631"/>
      <c r="B86" s="631"/>
      <c r="C86" s="631"/>
      <c r="D86" s="631"/>
      <c r="E86" s="631"/>
      <c r="F86" s="631"/>
      <c r="G86" s="631"/>
      <c r="H86" s="631"/>
    </row>
    <row r="87" spans="1:8" x14ac:dyDescent="0.2">
      <c r="A87" s="631"/>
      <c r="B87" s="631"/>
      <c r="C87" s="631"/>
      <c r="D87" s="631"/>
      <c r="E87" s="631"/>
      <c r="F87" s="631"/>
      <c r="G87" s="631"/>
      <c r="H87" s="631"/>
    </row>
    <row r="88" spans="1:8" x14ac:dyDescent="0.2">
      <c r="A88" s="631"/>
      <c r="B88" s="631"/>
      <c r="C88" s="631"/>
      <c r="D88" s="631"/>
      <c r="E88" s="631"/>
      <c r="F88" s="631"/>
      <c r="G88" s="631"/>
      <c r="H88" s="631"/>
    </row>
    <row r="89" spans="1:8" x14ac:dyDescent="0.2">
      <c r="A89" s="631"/>
      <c r="B89" s="631"/>
      <c r="C89" s="631"/>
      <c r="D89" s="631"/>
      <c r="E89" s="631"/>
      <c r="F89" s="631"/>
      <c r="G89" s="631"/>
      <c r="H89" s="631"/>
    </row>
    <row r="90" spans="1:8" x14ac:dyDescent="0.2">
      <c r="A90" s="631"/>
      <c r="B90" s="631"/>
      <c r="C90" s="631"/>
      <c r="D90" s="631"/>
      <c r="E90" s="631"/>
      <c r="F90" s="631"/>
      <c r="G90" s="631"/>
      <c r="H90" s="631"/>
    </row>
    <row r="91" spans="1:8" x14ac:dyDescent="0.2">
      <c r="A91" s="631"/>
      <c r="B91" s="631"/>
      <c r="C91" s="631"/>
      <c r="D91" s="631"/>
      <c r="E91" s="631"/>
      <c r="F91" s="631"/>
      <c r="G91" s="631"/>
      <c r="H91" s="631"/>
    </row>
    <row r="92" spans="1:8" x14ac:dyDescent="0.2">
      <c r="A92" s="631"/>
      <c r="B92" s="631"/>
      <c r="C92" s="631"/>
      <c r="D92" s="631"/>
      <c r="E92" s="631"/>
      <c r="F92" s="631"/>
      <c r="G92" s="631"/>
      <c r="H92" s="631"/>
    </row>
    <row r="93" spans="1:8" x14ac:dyDescent="0.2">
      <c r="A93" s="631"/>
      <c r="B93" s="631"/>
      <c r="C93" s="631"/>
      <c r="D93" s="631"/>
      <c r="E93" s="631"/>
      <c r="F93" s="631"/>
      <c r="G93" s="631"/>
      <c r="H93" s="631"/>
    </row>
    <row r="94" spans="1:8" x14ac:dyDescent="0.2">
      <c r="A94" s="631"/>
      <c r="B94" s="631"/>
      <c r="C94" s="631"/>
      <c r="D94" s="631"/>
      <c r="E94" s="631"/>
      <c r="F94" s="631"/>
      <c r="G94" s="631"/>
      <c r="H94" s="631"/>
    </row>
    <row r="95" spans="1:8" x14ac:dyDescent="0.2">
      <c r="A95" s="631"/>
      <c r="B95" s="631"/>
      <c r="C95" s="631"/>
      <c r="D95" s="631"/>
      <c r="E95" s="631"/>
      <c r="F95" s="631"/>
      <c r="G95" s="631"/>
      <c r="H95" s="631"/>
    </row>
    <row r="96" spans="1:8" x14ac:dyDescent="0.2">
      <c r="A96" s="631"/>
      <c r="B96" s="631"/>
      <c r="C96" s="631"/>
      <c r="D96" s="631"/>
      <c r="E96" s="631"/>
      <c r="F96" s="631"/>
      <c r="G96" s="631"/>
      <c r="H96" s="631"/>
    </row>
    <row r="97" spans="1:8" x14ac:dyDescent="0.2">
      <c r="A97" s="631"/>
      <c r="B97" s="631"/>
      <c r="C97" s="631"/>
      <c r="D97" s="631"/>
      <c r="E97" s="631"/>
      <c r="F97" s="631"/>
      <c r="G97" s="631"/>
      <c r="H97" s="631"/>
    </row>
    <row r="98" spans="1:8" x14ac:dyDescent="0.2">
      <c r="A98" s="631"/>
      <c r="B98" s="631"/>
      <c r="C98" s="631"/>
      <c r="D98" s="631"/>
      <c r="E98" s="631"/>
      <c r="F98" s="631"/>
      <c r="G98" s="631"/>
      <c r="H98" s="631"/>
    </row>
    <row r="99" spans="1:8" x14ac:dyDescent="0.2">
      <c r="A99" s="631"/>
      <c r="B99" s="631"/>
      <c r="C99" s="631"/>
      <c r="D99" s="631"/>
      <c r="E99" s="631"/>
      <c r="F99" s="631"/>
      <c r="G99" s="631"/>
      <c r="H99" s="631"/>
    </row>
    <row r="100" spans="1:8" x14ac:dyDescent="0.2">
      <c r="A100" s="631"/>
      <c r="B100" s="631"/>
      <c r="C100" s="631"/>
      <c r="D100" s="631"/>
      <c r="E100" s="631"/>
      <c r="F100" s="631"/>
      <c r="G100" s="631"/>
      <c r="H100" s="631"/>
    </row>
    <row r="101" spans="1:8" x14ac:dyDescent="0.2">
      <c r="A101" s="631"/>
      <c r="B101" s="631"/>
      <c r="C101" s="631"/>
      <c r="D101" s="631"/>
      <c r="E101" s="631"/>
      <c r="F101" s="631"/>
      <c r="G101" s="631"/>
      <c r="H101" s="631"/>
    </row>
    <row r="102" spans="1:8" x14ac:dyDescent="0.2">
      <c r="A102" s="631"/>
      <c r="B102" s="631"/>
      <c r="C102" s="631"/>
      <c r="D102" s="631"/>
      <c r="E102" s="631"/>
      <c r="F102" s="631"/>
      <c r="G102" s="631"/>
      <c r="H102" s="631"/>
    </row>
    <row r="103" spans="1:8" x14ac:dyDescent="0.2">
      <c r="A103" s="631"/>
      <c r="B103" s="631"/>
      <c r="C103" s="631"/>
      <c r="D103" s="631"/>
      <c r="E103" s="631"/>
      <c r="F103" s="631"/>
      <c r="G103" s="631"/>
      <c r="H103" s="631"/>
    </row>
    <row r="104" spans="1:8" x14ac:dyDescent="0.2">
      <c r="A104" s="631"/>
      <c r="B104" s="631"/>
      <c r="C104" s="631"/>
      <c r="D104" s="631"/>
      <c r="E104" s="631"/>
      <c r="F104" s="631"/>
      <c r="G104" s="631"/>
      <c r="H104" s="631"/>
    </row>
    <row r="105" spans="1:8" x14ac:dyDescent="0.2">
      <c r="A105" s="631"/>
      <c r="B105" s="631"/>
      <c r="C105" s="631"/>
      <c r="D105" s="631"/>
      <c r="E105" s="631"/>
      <c r="F105" s="631"/>
      <c r="G105" s="631"/>
      <c r="H105" s="631"/>
    </row>
    <row r="106" spans="1:8" x14ac:dyDescent="0.2">
      <c r="A106" s="631"/>
      <c r="B106" s="631"/>
      <c r="C106" s="631"/>
      <c r="D106" s="631"/>
      <c r="E106" s="631"/>
      <c r="F106" s="631"/>
      <c r="G106" s="631"/>
      <c r="H106" s="631"/>
    </row>
    <row r="107" spans="1:8" x14ac:dyDescent="0.2">
      <c r="A107" s="631"/>
      <c r="B107" s="631"/>
      <c r="C107" s="631"/>
      <c r="D107" s="631"/>
      <c r="E107" s="631"/>
      <c r="F107" s="631"/>
      <c r="G107" s="631"/>
      <c r="H107" s="631"/>
    </row>
    <row r="108" spans="1:8" x14ac:dyDescent="0.2">
      <c r="A108" s="631"/>
      <c r="B108" s="631"/>
      <c r="C108" s="631"/>
      <c r="D108" s="631"/>
      <c r="E108" s="631"/>
      <c r="F108" s="631"/>
      <c r="G108" s="631"/>
      <c r="H108" s="631"/>
    </row>
    <row r="109" spans="1:8" x14ac:dyDescent="0.2">
      <c r="A109" s="631"/>
      <c r="B109" s="631"/>
      <c r="C109" s="631"/>
      <c r="D109" s="631"/>
      <c r="E109" s="631"/>
      <c r="F109" s="631"/>
      <c r="G109" s="631"/>
      <c r="H109" s="631"/>
    </row>
    <row r="110" spans="1:8" x14ac:dyDescent="0.2">
      <c r="A110" s="631"/>
      <c r="B110" s="631"/>
      <c r="C110" s="631"/>
      <c r="D110" s="631"/>
      <c r="E110" s="631"/>
      <c r="F110" s="631"/>
      <c r="G110" s="631"/>
      <c r="H110" s="631"/>
    </row>
    <row r="111" spans="1:8" x14ac:dyDescent="0.2">
      <c r="A111" s="631"/>
      <c r="B111" s="631"/>
      <c r="C111" s="631"/>
      <c r="D111" s="631"/>
      <c r="E111" s="631"/>
      <c r="F111" s="631"/>
      <c r="G111" s="631"/>
      <c r="H111" s="631"/>
    </row>
    <row r="112" spans="1:8" x14ac:dyDescent="0.2">
      <c r="A112" s="631"/>
      <c r="B112" s="631"/>
      <c r="C112" s="631"/>
      <c r="D112" s="631"/>
      <c r="E112" s="631"/>
      <c r="F112" s="631"/>
      <c r="G112" s="631"/>
      <c r="H112" s="631"/>
    </row>
    <row r="113" spans="1:8" x14ac:dyDescent="0.2">
      <c r="A113" s="631"/>
      <c r="B113" s="631"/>
      <c r="C113" s="631"/>
      <c r="D113" s="631"/>
      <c r="E113" s="631"/>
      <c r="F113" s="631"/>
      <c r="G113" s="631"/>
      <c r="H113" s="631"/>
    </row>
    <row r="114" spans="1:8" x14ac:dyDescent="0.2">
      <c r="A114" s="631"/>
      <c r="B114" s="631"/>
      <c r="C114" s="631"/>
      <c r="D114" s="631"/>
      <c r="E114" s="631"/>
      <c r="F114" s="631"/>
      <c r="G114" s="631"/>
      <c r="H114" s="631"/>
    </row>
    <row r="115" spans="1:8" x14ac:dyDescent="0.2">
      <c r="A115" s="631"/>
      <c r="B115" s="631"/>
      <c r="C115" s="631"/>
      <c r="D115" s="631"/>
      <c r="E115" s="631"/>
      <c r="F115" s="631"/>
      <c r="G115" s="631"/>
      <c r="H115" s="631"/>
    </row>
    <row r="116" spans="1:8" x14ac:dyDescent="0.2">
      <c r="A116" s="631"/>
      <c r="B116" s="631"/>
      <c r="C116" s="631"/>
      <c r="D116" s="631"/>
      <c r="E116" s="631"/>
      <c r="F116" s="631"/>
      <c r="G116" s="631"/>
      <c r="H116" s="631"/>
    </row>
    <row r="117" spans="1:8" x14ac:dyDescent="0.2">
      <c r="A117" s="631"/>
      <c r="B117" s="631"/>
      <c r="C117" s="631"/>
      <c r="D117" s="631"/>
      <c r="E117" s="631"/>
      <c r="F117" s="631"/>
      <c r="G117" s="631"/>
      <c r="H117" s="631"/>
    </row>
    <row r="118" spans="1:8" x14ac:dyDescent="0.2">
      <c r="A118" s="631"/>
      <c r="B118" s="631"/>
      <c r="C118" s="631"/>
      <c r="D118" s="631"/>
      <c r="E118" s="631"/>
      <c r="F118" s="631"/>
      <c r="G118" s="631"/>
      <c r="H118" s="631"/>
    </row>
    <row r="119" spans="1:8" x14ac:dyDescent="0.2">
      <c r="A119" s="631"/>
      <c r="B119" s="631"/>
      <c r="C119" s="631"/>
      <c r="D119" s="631"/>
      <c r="E119" s="631"/>
      <c r="F119" s="631"/>
      <c r="G119" s="631"/>
      <c r="H119" s="631"/>
    </row>
    <row r="120" spans="1:8" x14ac:dyDescent="0.2">
      <c r="A120" s="631"/>
      <c r="B120" s="631"/>
      <c r="C120" s="631"/>
      <c r="D120" s="631"/>
      <c r="E120" s="631"/>
      <c r="F120" s="631"/>
      <c r="G120" s="631"/>
      <c r="H120" s="631"/>
    </row>
    <row r="121" spans="1:8" x14ac:dyDescent="0.2">
      <c r="A121" s="631"/>
      <c r="B121" s="631"/>
      <c r="C121" s="631"/>
      <c r="D121" s="631"/>
      <c r="E121" s="631"/>
      <c r="F121" s="631"/>
      <c r="G121" s="631"/>
      <c r="H121" s="631"/>
    </row>
    <row r="122" spans="1:8" x14ac:dyDescent="0.2">
      <c r="A122" s="631"/>
      <c r="B122" s="631"/>
      <c r="C122" s="631"/>
      <c r="D122" s="631"/>
      <c r="E122" s="631"/>
      <c r="F122" s="631"/>
      <c r="G122" s="631"/>
      <c r="H122" s="631"/>
    </row>
    <row r="123" spans="1:8" x14ac:dyDescent="0.2">
      <c r="A123" s="631"/>
      <c r="B123" s="631"/>
      <c r="C123" s="631"/>
      <c r="D123" s="631"/>
      <c r="E123" s="631"/>
      <c r="F123" s="631"/>
      <c r="G123" s="631"/>
      <c r="H123" s="631"/>
    </row>
    <row r="124" spans="1:8" x14ac:dyDescent="0.2">
      <c r="A124" s="631"/>
      <c r="B124" s="631"/>
      <c r="C124" s="631"/>
      <c r="D124" s="631"/>
      <c r="E124" s="631"/>
      <c r="F124" s="631"/>
      <c r="G124" s="631"/>
      <c r="H124" s="631"/>
    </row>
    <row r="125" spans="1:8" x14ac:dyDescent="0.2">
      <c r="A125" s="631"/>
      <c r="B125" s="631"/>
      <c r="C125" s="631"/>
      <c r="D125" s="631"/>
      <c r="E125" s="631"/>
      <c r="F125" s="631"/>
      <c r="G125" s="631"/>
      <c r="H125" s="631"/>
    </row>
    <row r="126" spans="1:8" x14ac:dyDescent="0.2">
      <c r="A126" s="631"/>
      <c r="B126" s="631"/>
      <c r="C126" s="631"/>
      <c r="D126" s="631"/>
      <c r="E126" s="631"/>
      <c r="F126" s="631"/>
      <c r="G126" s="631"/>
      <c r="H126" s="631"/>
    </row>
    <row r="127" spans="1:8" x14ac:dyDescent="0.2">
      <c r="A127" s="631"/>
      <c r="B127" s="631"/>
      <c r="C127" s="631"/>
      <c r="D127" s="631"/>
      <c r="E127" s="631"/>
      <c r="F127" s="631"/>
      <c r="G127" s="631"/>
      <c r="H127" s="631"/>
    </row>
    <row r="128" spans="1:8" x14ac:dyDescent="0.2">
      <c r="A128" s="631"/>
      <c r="B128" s="631"/>
      <c r="C128" s="631"/>
      <c r="D128" s="631"/>
      <c r="E128" s="631"/>
      <c r="F128" s="631"/>
      <c r="G128" s="631"/>
      <c r="H128" s="631"/>
    </row>
    <row r="129" spans="1:8" x14ac:dyDescent="0.2">
      <c r="A129" s="631"/>
      <c r="B129" s="631"/>
      <c r="C129" s="631"/>
      <c r="D129" s="631"/>
      <c r="E129" s="631"/>
      <c r="F129" s="631"/>
      <c r="G129" s="631"/>
      <c r="H129" s="631"/>
    </row>
    <row r="130" spans="1:8" x14ac:dyDescent="0.2">
      <c r="A130" s="631"/>
      <c r="B130" s="631"/>
      <c r="C130" s="631"/>
      <c r="D130" s="631"/>
      <c r="E130" s="631"/>
      <c r="F130" s="631"/>
      <c r="G130" s="631"/>
      <c r="H130" s="631"/>
    </row>
    <row r="131" spans="1:8" x14ac:dyDescent="0.2">
      <c r="A131" s="631"/>
      <c r="B131" s="631"/>
      <c r="C131" s="631"/>
      <c r="D131" s="631"/>
      <c r="E131" s="631"/>
      <c r="F131" s="631"/>
      <c r="G131" s="631"/>
      <c r="H131" s="631"/>
    </row>
    <row r="132" spans="1:8" x14ac:dyDescent="0.2">
      <c r="A132" s="631"/>
      <c r="B132" s="631"/>
      <c r="C132" s="631"/>
      <c r="D132" s="631"/>
      <c r="E132" s="631"/>
      <c r="F132" s="631"/>
      <c r="G132" s="631"/>
      <c r="H132" s="631"/>
    </row>
    <row r="133" spans="1:8" x14ac:dyDescent="0.2">
      <c r="A133" s="631"/>
      <c r="B133" s="631"/>
      <c r="C133" s="631"/>
      <c r="D133" s="631"/>
      <c r="E133" s="631"/>
      <c r="F133" s="631"/>
      <c r="G133" s="631"/>
      <c r="H133" s="631"/>
    </row>
    <row r="134" spans="1:8" x14ac:dyDescent="0.2">
      <c r="A134" s="631"/>
      <c r="B134" s="631"/>
      <c r="C134" s="631"/>
      <c r="D134" s="631"/>
      <c r="E134" s="631"/>
      <c r="F134" s="631"/>
      <c r="G134" s="631"/>
      <c r="H134" s="631"/>
    </row>
    <row r="135" spans="1:8" x14ac:dyDescent="0.2">
      <c r="A135" s="631"/>
      <c r="B135" s="631"/>
      <c r="C135" s="631"/>
      <c r="D135" s="631"/>
      <c r="E135" s="631"/>
      <c r="F135" s="631"/>
      <c r="G135" s="631"/>
      <c r="H135" s="631"/>
    </row>
    <row r="136" spans="1:8" x14ac:dyDescent="0.2">
      <c r="A136" s="631"/>
      <c r="B136" s="631"/>
      <c r="C136" s="631"/>
      <c r="D136" s="631"/>
      <c r="E136" s="631"/>
      <c r="F136" s="631"/>
      <c r="G136" s="631"/>
      <c r="H136" s="631"/>
    </row>
    <row r="137" spans="1:8" x14ac:dyDescent="0.2">
      <c r="A137" s="631"/>
      <c r="B137" s="631"/>
      <c r="C137" s="631"/>
      <c r="D137" s="631"/>
      <c r="E137" s="631"/>
      <c r="F137" s="631"/>
      <c r="G137" s="631"/>
      <c r="H137" s="631"/>
    </row>
    <row r="138" spans="1:8" x14ac:dyDescent="0.2">
      <c r="A138" s="631"/>
      <c r="B138" s="631"/>
      <c r="C138" s="631"/>
      <c r="D138" s="631"/>
      <c r="E138" s="631"/>
      <c r="F138" s="631"/>
      <c r="G138" s="631"/>
      <c r="H138" s="631"/>
    </row>
    <row r="139" spans="1:8" x14ac:dyDescent="0.2">
      <c r="A139" s="631"/>
      <c r="B139" s="631"/>
      <c r="C139" s="631"/>
      <c r="D139" s="631"/>
      <c r="E139" s="631"/>
      <c r="F139" s="631"/>
      <c r="G139" s="631"/>
      <c r="H139" s="631"/>
    </row>
    <row r="140" spans="1:8" x14ac:dyDescent="0.2">
      <c r="A140" s="631"/>
      <c r="B140" s="631"/>
      <c r="C140" s="631"/>
      <c r="D140" s="631"/>
      <c r="E140" s="631"/>
      <c r="F140" s="631"/>
      <c r="G140" s="631"/>
      <c r="H140" s="631"/>
    </row>
    <row r="141" spans="1:8" x14ac:dyDescent="0.2">
      <c r="A141" s="631"/>
      <c r="B141" s="631"/>
      <c r="C141" s="631"/>
      <c r="D141" s="631"/>
      <c r="E141" s="631"/>
      <c r="F141" s="631"/>
      <c r="G141" s="631"/>
      <c r="H141" s="631"/>
    </row>
    <row r="142" spans="1:8" x14ac:dyDescent="0.2">
      <c r="A142" s="631"/>
      <c r="B142" s="631"/>
      <c r="C142" s="631"/>
      <c r="D142" s="631"/>
      <c r="E142" s="631"/>
      <c r="F142" s="631"/>
      <c r="G142" s="631"/>
      <c r="H142" s="631"/>
    </row>
    <row r="143" spans="1:8" x14ac:dyDescent="0.2">
      <c r="A143" s="631"/>
      <c r="B143" s="631"/>
      <c r="C143" s="631"/>
      <c r="D143" s="631"/>
      <c r="E143" s="631"/>
      <c r="F143" s="631"/>
      <c r="G143" s="631"/>
      <c r="H143" s="631"/>
    </row>
    <row r="144" spans="1:8" x14ac:dyDescent="0.2">
      <c r="A144" s="631"/>
      <c r="B144" s="631"/>
      <c r="C144" s="631"/>
      <c r="D144" s="631"/>
      <c r="E144" s="631"/>
      <c r="F144" s="631"/>
      <c r="G144" s="631"/>
      <c r="H144" s="631"/>
    </row>
    <row r="145" spans="1:8" x14ac:dyDescent="0.2">
      <c r="A145" s="631"/>
      <c r="B145" s="631"/>
      <c r="C145" s="631"/>
      <c r="D145" s="631"/>
      <c r="E145" s="631"/>
      <c r="F145" s="631"/>
      <c r="G145" s="631"/>
      <c r="H145" s="631"/>
    </row>
    <row r="146" spans="1:8" x14ac:dyDescent="0.2">
      <c r="A146" s="631"/>
      <c r="B146" s="631"/>
      <c r="C146" s="631"/>
      <c r="D146" s="631"/>
      <c r="E146" s="631"/>
      <c r="F146" s="631"/>
      <c r="G146" s="631"/>
      <c r="H146" s="631"/>
    </row>
    <row r="147" spans="1:8" x14ac:dyDescent="0.2">
      <c r="A147" s="631"/>
      <c r="B147" s="631"/>
      <c r="C147" s="631"/>
      <c r="D147" s="631"/>
      <c r="E147" s="631"/>
      <c r="F147" s="631"/>
      <c r="G147" s="631"/>
      <c r="H147" s="631"/>
    </row>
    <row r="148" spans="1:8" x14ac:dyDescent="0.2">
      <c r="A148" s="631"/>
      <c r="B148" s="631"/>
      <c r="C148" s="631"/>
      <c r="D148" s="631"/>
      <c r="E148" s="631"/>
      <c r="F148" s="631"/>
      <c r="G148" s="631"/>
      <c r="H148" s="631"/>
    </row>
    <row r="149" spans="1:8" x14ac:dyDescent="0.2">
      <c r="A149" s="631"/>
      <c r="B149" s="631"/>
      <c r="C149" s="631"/>
      <c r="D149" s="631"/>
      <c r="E149" s="631"/>
      <c r="F149" s="631"/>
      <c r="G149" s="631"/>
      <c r="H149" s="631"/>
    </row>
    <row r="150" spans="1:8" x14ac:dyDescent="0.2">
      <c r="A150" s="631"/>
      <c r="B150" s="631"/>
      <c r="C150" s="631"/>
      <c r="D150" s="631"/>
      <c r="E150" s="631"/>
      <c r="F150" s="631"/>
      <c r="G150" s="631"/>
      <c r="H150" s="631"/>
    </row>
    <row r="151" spans="1:8" x14ac:dyDescent="0.2">
      <c r="A151" s="631"/>
      <c r="B151" s="631"/>
      <c r="C151" s="631"/>
      <c r="D151" s="631"/>
      <c r="E151" s="631"/>
      <c r="F151" s="631"/>
      <c r="G151" s="631"/>
      <c r="H151" s="631"/>
    </row>
    <row r="152" spans="1:8" x14ac:dyDescent="0.2">
      <c r="A152" s="631"/>
      <c r="B152" s="631"/>
      <c r="C152" s="631"/>
      <c r="D152" s="631"/>
      <c r="E152" s="631"/>
      <c r="F152" s="631"/>
      <c r="G152" s="631"/>
      <c r="H152" s="631"/>
    </row>
    <row r="153" spans="1:8" x14ac:dyDescent="0.2">
      <c r="A153" s="631"/>
      <c r="B153" s="631"/>
      <c r="C153" s="631"/>
      <c r="D153" s="631"/>
      <c r="E153" s="631"/>
      <c r="F153" s="631"/>
      <c r="G153" s="631"/>
      <c r="H153" s="631"/>
    </row>
    <row r="154" spans="1:8" x14ac:dyDescent="0.2">
      <c r="A154" s="631"/>
      <c r="B154" s="631"/>
      <c r="C154" s="631"/>
      <c r="D154" s="631"/>
      <c r="E154" s="631"/>
      <c r="F154" s="631"/>
      <c r="G154" s="631"/>
      <c r="H154" s="631"/>
    </row>
    <row r="155" spans="1:8" x14ac:dyDescent="0.2">
      <c r="A155" s="631"/>
      <c r="B155" s="631"/>
      <c r="C155" s="631"/>
      <c r="D155" s="631"/>
      <c r="E155" s="631"/>
      <c r="F155" s="631"/>
      <c r="G155" s="631"/>
      <c r="H155" s="631"/>
    </row>
    <row r="156" spans="1:8" x14ac:dyDescent="0.2">
      <c r="A156" s="631"/>
      <c r="B156" s="631"/>
      <c r="C156" s="631"/>
      <c r="D156" s="631"/>
      <c r="E156" s="631"/>
      <c r="F156" s="631"/>
      <c r="G156" s="631"/>
      <c r="H156" s="631"/>
    </row>
    <row r="157" spans="1:8" x14ac:dyDescent="0.2">
      <c r="A157" s="631"/>
      <c r="B157" s="631"/>
      <c r="C157" s="631"/>
      <c r="D157" s="631"/>
      <c r="E157" s="631"/>
      <c r="F157" s="631"/>
      <c r="G157" s="631"/>
      <c r="H157" s="631"/>
    </row>
    <row r="158" spans="1:8" x14ac:dyDescent="0.2">
      <c r="A158" s="631"/>
      <c r="B158" s="631"/>
      <c r="C158" s="631"/>
      <c r="D158" s="631"/>
      <c r="E158" s="631"/>
      <c r="F158" s="631"/>
      <c r="G158" s="631"/>
      <c r="H158" s="631"/>
    </row>
    <row r="159" spans="1:8" x14ac:dyDescent="0.2">
      <c r="A159" s="631"/>
      <c r="B159" s="631"/>
      <c r="C159" s="631"/>
      <c r="D159" s="631"/>
      <c r="E159" s="631"/>
      <c r="F159" s="631"/>
      <c r="G159" s="631"/>
      <c r="H159" s="631"/>
    </row>
    <row r="160" spans="1:8" x14ac:dyDescent="0.2">
      <c r="A160" s="631"/>
      <c r="B160" s="631"/>
      <c r="C160" s="631"/>
      <c r="D160" s="631"/>
      <c r="E160" s="631"/>
      <c r="F160" s="631"/>
      <c r="G160" s="631"/>
      <c r="H160" s="631"/>
    </row>
    <row r="161" spans="1:8" x14ac:dyDescent="0.2">
      <c r="A161" s="631"/>
      <c r="B161" s="631"/>
      <c r="C161" s="631"/>
      <c r="D161" s="631"/>
      <c r="E161" s="631"/>
      <c r="F161" s="631"/>
      <c r="G161" s="631"/>
      <c r="H161" s="631"/>
    </row>
    <row r="162" spans="1:8" x14ac:dyDescent="0.2">
      <c r="A162" s="631"/>
      <c r="B162" s="631"/>
      <c r="C162" s="631"/>
      <c r="D162" s="631"/>
      <c r="E162" s="631"/>
      <c r="F162" s="631"/>
      <c r="G162" s="631"/>
      <c r="H162" s="631"/>
    </row>
    <row r="163" spans="1:8" x14ac:dyDescent="0.2">
      <c r="A163" s="631"/>
      <c r="B163" s="631"/>
      <c r="C163" s="631"/>
      <c r="D163" s="631"/>
      <c r="E163" s="631"/>
      <c r="F163" s="631"/>
      <c r="G163" s="631"/>
      <c r="H163" s="631"/>
    </row>
    <row r="164" spans="1:8" x14ac:dyDescent="0.2">
      <c r="A164" s="631"/>
      <c r="B164" s="631"/>
      <c r="C164" s="631"/>
      <c r="D164" s="631"/>
      <c r="E164" s="631"/>
      <c r="F164" s="631"/>
      <c r="G164" s="631"/>
      <c r="H164" s="631"/>
    </row>
    <row r="165" spans="1:8" x14ac:dyDescent="0.2">
      <c r="A165" s="631"/>
      <c r="B165" s="631"/>
      <c r="C165" s="631"/>
      <c r="D165" s="631"/>
      <c r="E165" s="631"/>
      <c r="F165" s="631"/>
      <c r="G165" s="631"/>
      <c r="H165" s="631"/>
    </row>
    <row r="166" spans="1:8" x14ac:dyDescent="0.2">
      <c r="A166" s="631"/>
      <c r="B166" s="631"/>
      <c r="C166" s="631"/>
      <c r="D166" s="631"/>
      <c r="E166" s="631"/>
      <c r="F166" s="631"/>
      <c r="G166" s="631"/>
      <c r="H166" s="631"/>
    </row>
    <row r="167" spans="1:8" x14ac:dyDescent="0.2">
      <c r="A167" s="631"/>
      <c r="B167" s="631"/>
      <c r="C167" s="631"/>
      <c r="D167" s="631"/>
      <c r="E167" s="631"/>
      <c r="F167" s="631"/>
      <c r="G167" s="631"/>
      <c r="H167" s="631"/>
    </row>
    <row r="168" spans="1:8" x14ac:dyDescent="0.2">
      <c r="A168" s="631"/>
      <c r="B168" s="631"/>
      <c r="C168" s="631"/>
      <c r="D168" s="631"/>
      <c r="E168" s="631"/>
      <c r="F168" s="631"/>
      <c r="G168" s="631"/>
      <c r="H168" s="631"/>
    </row>
    <row r="169" spans="1:8" x14ac:dyDescent="0.2">
      <c r="A169" s="631"/>
      <c r="B169" s="631"/>
      <c r="C169" s="631"/>
      <c r="D169" s="631"/>
      <c r="E169" s="631"/>
      <c r="F169" s="631"/>
      <c r="G169" s="631"/>
      <c r="H169" s="631"/>
    </row>
    <row r="170" spans="1:8" x14ac:dyDescent="0.2">
      <c r="A170" s="631"/>
      <c r="B170" s="631"/>
      <c r="C170" s="631"/>
      <c r="D170" s="631"/>
      <c r="E170" s="631"/>
      <c r="F170" s="631"/>
      <c r="G170" s="631"/>
      <c r="H170" s="631"/>
    </row>
    <row r="171" spans="1:8" x14ac:dyDescent="0.2">
      <c r="A171" s="631"/>
      <c r="B171" s="631"/>
      <c r="C171" s="631"/>
      <c r="D171" s="631"/>
      <c r="E171" s="631"/>
      <c r="F171" s="631"/>
      <c r="G171" s="631"/>
      <c r="H171" s="631"/>
    </row>
    <row r="172" spans="1:8" x14ac:dyDescent="0.2">
      <c r="A172" s="631"/>
      <c r="B172" s="631"/>
      <c r="C172" s="631"/>
      <c r="D172" s="631"/>
      <c r="E172" s="631"/>
      <c r="F172" s="631"/>
      <c r="G172" s="631"/>
      <c r="H172" s="631"/>
    </row>
    <row r="173" spans="1:8" x14ac:dyDescent="0.2">
      <c r="A173" s="631"/>
      <c r="B173" s="631"/>
      <c r="C173" s="631"/>
      <c r="D173" s="631"/>
      <c r="E173" s="631"/>
      <c r="F173" s="631"/>
      <c r="G173" s="631"/>
      <c r="H173" s="631"/>
    </row>
    <row r="174" spans="1:8" x14ac:dyDescent="0.2">
      <c r="A174" s="631"/>
      <c r="B174" s="631"/>
      <c r="C174" s="631"/>
      <c r="D174" s="631"/>
      <c r="E174" s="631"/>
      <c r="F174" s="631"/>
      <c r="G174" s="631"/>
      <c r="H174" s="631"/>
    </row>
    <row r="175" spans="1:8" x14ac:dyDescent="0.2">
      <c r="A175" s="631"/>
      <c r="B175" s="631"/>
      <c r="C175" s="631"/>
      <c r="D175" s="631"/>
      <c r="E175" s="631"/>
      <c r="F175" s="631"/>
      <c r="G175" s="631"/>
      <c r="H175" s="631"/>
    </row>
    <row r="176" spans="1:8" x14ac:dyDescent="0.2">
      <c r="A176" s="631"/>
      <c r="B176" s="631"/>
      <c r="C176" s="631"/>
      <c r="D176" s="631"/>
      <c r="E176" s="631"/>
      <c r="F176" s="631"/>
      <c r="G176" s="631"/>
      <c r="H176" s="631"/>
    </row>
    <row r="177" spans="1:8" x14ac:dyDescent="0.2">
      <c r="A177" s="631"/>
      <c r="B177" s="631"/>
      <c r="C177" s="631"/>
      <c r="D177" s="631"/>
      <c r="E177" s="631"/>
      <c r="F177" s="631"/>
      <c r="G177" s="631"/>
      <c r="H177" s="631"/>
    </row>
    <row r="178" spans="1:8" x14ac:dyDescent="0.2">
      <c r="A178" s="631"/>
      <c r="B178" s="631"/>
      <c r="C178" s="631"/>
      <c r="D178" s="631"/>
      <c r="E178" s="631"/>
      <c r="F178" s="631"/>
      <c r="G178" s="631"/>
      <c r="H178" s="631"/>
    </row>
    <row r="179" spans="1:8" x14ac:dyDescent="0.2">
      <c r="A179" s="631"/>
      <c r="B179" s="631"/>
      <c r="C179" s="631"/>
      <c r="D179" s="631"/>
      <c r="E179" s="631"/>
      <c r="F179" s="631"/>
      <c r="G179" s="631"/>
      <c r="H179" s="631"/>
    </row>
    <row r="180" spans="1:8" x14ac:dyDescent="0.2">
      <c r="A180" s="631"/>
      <c r="B180" s="631"/>
      <c r="C180" s="631"/>
      <c r="D180" s="631"/>
      <c r="E180" s="631"/>
      <c r="F180" s="631"/>
      <c r="G180" s="631"/>
      <c r="H180" s="631"/>
    </row>
    <row r="181" spans="1:8" x14ac:dyDescent="0.2">
      <c r="A181" s="631"/>
      <c r="B181" s="631"/>
      <c r="C181" s="631"/>
      <c r="D181" s="631"/>
      <c r="E181" s="631"/>
      <c r="F181" s="631"/>
      <c r="G181" s="631"/>
      <c r="H181" s="631"/>
    </row>
    <row r="182" spans="1:8" x14ac:dyDescent="0.2">
      <c r="A182" s="631"/>
      <c r="B182" s="631"/>
      <c r="C182" s="631"/>
      <c r="D182" s="631"/>
      <c r="E182" s="631"/>
      <c r="F182" s="631"/>
      <c r="G182" s="631"/>
      <c r="H182" s="631"/>
    </row>
    <row r="183" spans="1:8" x14ac:dyDescent="0.2">
      <c r="A183" s="631"/>
      <c r="B183" s="631"/>
      <c r="C183" s="631"/>
      <c r="D183" s="631"/>
      <c r="E183" s="631"/>
      <c r="F183" s="631"/>
      <c r="G183" s="631"/>
      <c r="H183" s="631"/>
    </row>
    <row r="184" spans="1:8" x14ac:dyDescent="0.2">
      <c r="A184" s="631"/>
      <c r="B184" s="631"/>
      <c r="C184" s="631"/>
      <c r="D184" s="631"/>
      <c r="E184" s="631"/>
      <c r="F184" s="631"/>
      <c r="G184" s="631"/>
      <c r="H184" s="631"/>
    </row>
    <row r="185" spans="1:8" x14ac:dyDescent="0.2">
      <c r="A185" s="631"/>
      <c r="B185" s="631"/>
      <c r="C185" s="631"/>
      <c r="D185" s="631"/>
      <c r="E185" s="631"/>
      <c r="F185" s="631"/>
      <c r="G185" s="631"/>
      <c r="H185" s="631"/>
    </row>
    <row r="186" spans="1:8" x14ac:dyDescent="0.2">
      <c r="A186" s="631"/>
      <c r="B186" s="631"/>
      <c r="C186" s="631"/>
      <c r="D186" s="631"/>
      <c r="E186" s="631"/>
      <c r="F186" s="631"/>
      <c r="G186" s="631"/>
      <c r="H186" s="631"/>
    </row>
    <row r="187" spans="1:8" x14ac:dyDescent="0.2">
      <c r="A187" s="631"/>
      <c r="B187" s="631"/>
      <c r="C187" s="631"/>
      <c r="D187" s="631"/>
      <c r="E187" s="631"/>
      <c r="F187" s="631"/>
      <c r="G187" s="631"/>
      <c r="H187" s="631"/>
    </row>
    <row r="188" spans="1:8" x14ac:dyDescent="0.2">
      <c r="A188" s="631"/>
      <c r="B188" s="631"/>
      <c r="C188" s="631"/>
      <c r="D188" s="631"/>
      <c r="E188" s="631"/>
      <c r="F188" s="631"/>
      <c r="G188" s="631"/>
      <c r="H188" s="631"/>
    </row>
    <row r="189" spans="1:8" x14ac:dyDescent="0.2">
      <c r="A189" s="631"/>
      <c r="B189" s="631"/>
      <c r="C189" s="631"/>
      <c r="D189" s="631"/>
      <c r="E189" s="631"/>
      <c r="F189" s="631"/>
      <c r="G189" s="631"/>
      <c r="H189" s="631"/>
    </row>
    <row r="190" spans="1:8" x14ac:dyDescent="0.2">
      <c r="A190" s="631"/>
      <c r="B190" s="631"/>
      <c r="C190" s="631"/>
      <c r="D190" s="631"/>
      <c r="E190" s="631"/>
      <c r="F190" s="631"/>
      <c r="G190" s="631"/>
      <c r="H190" s="631"/>
    </row>
    <row r="191" spans="1:8" x14ac:dyDescent="0.2">
      <c r="A191" s="631"/>
      <c r="B191" s="631"/>
      <c r="C191" s="631"/>
      <c r="D191" s="631"/>
      <c r="E191" s="631"/>
      <c r="F191" s="631"/>
      <c r="G191" s="631"/>
      <c r="H191" s="631"/>
    </row>
    <row r="192" spans="1:8" x14ac:dyDescent="0.2">
      <c r="A192" s="631"/>
      <c r="B192" s="631"/>
      <c r="C192" s="631"/>
      <c r="D192" s="631"/>
      <c r="E192" s="631"/>
      <c r="F192" s="631"/>
      <c r="G192" s="631"/>
      <c r="H192" s="631"/>
    </row>
    <row r="193" spans="1:8" x14ac:dyDescent="0.2">
      <c r="A193" s="631"/>
      <c r="B193" s="631"/>
      <c r="C193" s="631"/>
      <c r="D193" s="631"/>
      <c r="E193" s="631"/>
      <c r="F193" s="631"/>
      <c r="G193" s="631"/>
      <c r="H193" s="631"/>
    </row>
    <row r="194" spans="1:8" x14ac:dyDescent="0.2">
      <c r="A194" s="631"/>
      <c r="B194" s="631"/>
      <c r="C194" s="631"/>
      <c r="D194" s="631"/>
      <c r="E194" s="631"/>
      <c r="F194" s="631"/>
      <c r="G194" s="631"/>
      <c r="H194" s="631"/>
    </row>
    <row r="195" spans="1:8" x14ac:dyDescent="0.2">
      <c r="A195" s="631"/>
      <c r="B195" s="631"/>
      <c r="C195" s="631"/>
      <c r="D195" s="631"/>
      <c r="E195" s="631"/>
      <c r="F195" s="631"/>
      <c r="G195" s="631"/>
      <c r="H195" s="631"/>
    </row>
    <row r="196" spans="1:8" x14ac:dyDescent="0.2">
      <c r="A196" s="631"/>
      <c r="B196" s="631"/>
      <c r="C196" s="631"/>
      <c r="D196" s="631"/>
      <c r="E196" s="631"/>
      <c r="F196" s="631"/>
      <c r="G196" s="631"/>
      <c r="H196" s="631"/>
    </row>
    <row r="197" spans="1:8" x14ac:dyDescent="0.2">
      <c r="A197" s="631"/>
      <c r="B197" s="631"/>
      <c r="C197" s="631"/>
      <c r="D197" s="631"/>
      <c r="E197" s="631"/>
      <c r="F197" s="631"/>
      <c r="G197" s="631"/>
      <c r="H197" s="631"/>
    </row>
    <row r="198" spans="1:8" x14ac:dyDescent="0.2">
      <c r="A198" s="631"/>
      <c r="B198" s="631"/>
      <c r="C198" s="631"/>
      <c r="D198" s="631"/>
      <c r="E198" s="631"/>
      <c r="F198" s="631"/>
      <c r="G198" s="631"/>
      <c r="H198" s="631"/>
    </row>
    <row r="199" spans="1:8" x14ac:dyDescent="0.2">
      <c r="A199" s="631"/>
      <c r="B199" s="631"/>
      <c r="C199" s="631"/>
      <c r="D199" s="631"/>
      <c r="E199" s="631"/>
      <c r="F199" s="631"/>
      <c r="G199" s="631"/>
      <c r="H199" s="631"/>
    </row>
    <row r="200" spans="1:8" x14ac:dyDescent="0.2">
      <c r="A200" s="631"/>
      <c r="B200" s="631"/>
      <c r="C200" s="631"/>
      <c r="D200" s="631"/>
      <c r="E200" s="631"/>
      <c r="F200" s="631"/>
      <c r="G200" s="631"/>
      <c r="H200" s="631"/>
    </row>
    <row r="201" spans="1:8" x14ac:dyDescent="0.2">
      <c r="A201" s="631"/>
      <c r="B201" s="631"/>
      <c r="C201" s="631"/>
      <c r="D201" s="631"/>
      <c r="E201" s="631"/>
      <c r="F201" s="631"/>
      <c r="G201" s="631"/>
      <c r="H201" s="631"/>
    </row>
    <row r="202" spans="1:8" x14ac:dyDescent="0.2">
      <c r="A202" s="631"/>
      <c r="B202" s="631"/>
      <c r="C202" s="631"/>
      <c r="D202" s="631"/>
      <c r="E202" s="631"/>
      <c r="F202" s="631"/>
      <c r="G202" s="631"/>
      <c r="H202" s="631"/>
    </row>
    <row r="203" spans="1:8" x14ac:dyDescent="0.2">
      <c r="A203" s="631"/>
      <c r="B203" s="631"/>
      <c r="C203" s="631"/>
      <c r="D203" s="631"/>
      <c r="E203" s="631"/>
      <c r="F203" s="631"/>
      <c r="G203" s="631"/>
      <c r="H203" s="631"/>
    </row>
    <row r="204" spans="1:8" x14ac:dyDescent="0.2">
      <c r="A204" s="631"/>
      <c r="B204" s="631"/>
      <c r="C204" s="631"/>
      <c r="D204" s="631"/>
      <c r="E204" s="631"/>
      <c r="F204" s="631"/>
      <c r="G204" s="631"/>
      <c r="H204" s="631"/>
    </row>
    <row r="205" spans="1:8" x14ac:dyDescent="0.2">
      <c r="A205" s="631"/>
      <c r="B205" s="631"/>
      <c r="C205" s="631"/>
      <c r="D205" s="631"/>
      <c r="E205" s="631"/>
      <c r="F205" s="631"/>
      <c r="G205" s="631"/>
      <c r="H205" s="631"/>
    </row>
    <row r="206" spans="1:8" x14ac:dyDescent="0.2">
      <c r="A206" s="631"/>
      <c r="B206" s="631"/>
      <c r="C206" s="631"/>
      <c r="D206" s="631"/>
      <c r="E206" s="631"/>
      <c r="F206" s="631"/>
      <c r="G206" s="631"/>
      <c r="H206" s="631"/>
    </row>
    <row r="207" spans="1:8" x14ac:dyDescent="0.2">
      <c r="A207" s="631"/>
      <c r="B207" s="631"/>
      <c r="C207" s="631"/>
      <c r="D207" s="631"/>
      <c r="E207" s="631"/>
      <c r="F207" s="631"/>
      <c r="G207" s="631"/>
      <c r="H207" s="631"/>
    </row>
    <row r="208" spans="1:8" x14ac:dyDescent="0.2">
      <c r="A208" s="631"/>
      <c r="B208" s="631"/>
      <c r="C208" s="631"/>
      <c r="D208" s="631"/>
      <c r="E208" s="631"/>
      <c r="F208" s="631"/>
      <c r="G208" s="631"/>
      <c r="H208" s="631"/>
    </row>
    <row r="209" spans="1:8" x14ac:dyDescent="0.2">
      <c r="A209" s="631"/>
      <c r="B209" s="631"/>
      <c r="C209" s="631"/>
      <c r="D209" s="631"/>
      <c r="E209" s="631"/>
      <c r="F209" s="631"/>
      <c r="G209" s="631"/>
      <c r="H209" s="631"/>
    </row>
    <row r="210" spans="1:8" x14ac:dyDescent="0.2">
      <c r="A210" s="631"/>
      <c r="B210" s="631"/>
      <c r="C210" s="631"/>
      <c r="D210" s="631"/>
      <c r="E210" s="631"/>
      <c r="F210" s="631"/>
      <c r="G210" s="631"/>
      <c r="H210" s="631"/>
    </row>
    <row r="211" spans="1:8" x14ac:dyDescent="0.2">
      <c r="A211" s="631"/>
      <c r="B211" s="631"/>
      <c r="C211" s="631"/>
      <c r="D211" s="631"/>
      <c r="E211" s="631"/>
      <c r="F211" s="631"/>
      <c r="G211" s="631"/>
      <c r="H211" s="631"/>
    </row>
    <row r="212" spans="1:8" x14ac:dyDescent="0.2">
      <c r="A212" s="631"/>
      <c r="B212" s="631"/>
      <c r="C212" s="631"/>
      <c r="D212" s="631"/>
      <c r="E212" s="631"/>
      <c r="F212" s="631"/>
      <c r="G212" s="631"/>
      <c r="H212" s="631"/>
    </row>
    <row r="213" spans="1:8" x14ac:dyDescent="0.2">
      <c r="A213" s="631"/>
      <c r="B213" s="631"/>
      <c r="C213" s="631"/>
      <c r="D213" s="631"/>
      <c r="E213" s="631"/>
      <c r="F213" s="631"/>
      <c r="G213" s="631"/>
      <c r="H213" s="631"/>
    </row>
    <row r="214" spans="1:8" x14ac:dyDescent="0.2">
      <c r="A214" s="631"/>
      <c r="B214" s="631"/>
      <c r="C214" s="631"/>
      <c r="D214" s="631"/>
      <c r="E214" s="631"/>
      <c r="F214" s="631"/>
      <c r="G214" s="631"/>
      <c r="H214" s="631"/>
    </row>
    <row r="215" spans="1:8" x14ac:dyDescent="0.2">
      <c r="A215" s="631"/>
      <c r="B215" s="631"/>
      <c r="C215" s="631"/>
      <c r="D215" s="631"/>
      <c r="E215" s="631"/>
      <c r="F215" s="631"/>
      <c r="G215" s="631"/>
      <c r="H215" s="631"/>
    </row>
    <row r="216" spans="1:8" x14ac:dyDescent="0.2">
      <c r="A216" s="631"/>
      <c r="B216" s="631"/>
      <c r="C216" s="631"/>
      <c r="D216" s="631"/>
      <c r="E216" s="631"/>
      <c r="F216" s="631"/>
      <c r="G216" s="631"/>
      <c r="H216" s="631"/>
    </row>
    <row r="217" spans="1:8" x14ac:dyDescent="0.2">
      <c r="A217" s="631"/>
      <c r="B217" s="631"/>
      <c r="C217" s="631"/>
      <c r="D217" s="631"/>
      <c r="E217" s="631"/>
      <c r="F217" s="631"/>
      <c r="G217" s="631"/>
      <c r="H217" s="631"/>
    </row>
    <row r="218" spans="1:8" x14ac:dyDescent="0.2">
      <c r="A218" s="631"/>
      <c r="B218" s="631"/>
      <c r="C218" s="631"/>
      <c r="D218" s="631"/>
      <c r="E218" s="631"/>
      <c r="F218" s="631"/>
      <c r="G218" s="631"/>
      <c r="H218" s="631"/>
    </row>
    <row r="219" spans="1:8" x14ac:dyDescent="0.2">
      <c r="A219" s="631"/>
      <c r="B219" s="631"/>
      <c r="C219" s="631"/>
      <c r="D219" s="631"/>
      <c r="E219" s="631"/>
      <c r="F219" s="631"/>
      <c r="G219" s="631"/>
      <c r="H219" s="631"/>
    </row>
    <row r="220" spans="1:8" x14ac:dyDescent="0.2">
      <c r="A220" s="631"/>
      <c r="B220" s="631"/>
      <c r="C220" s="631"/>
      <c r="D220" s="631"/>
      <c r="E220" s="631"/>
      <c r="F220" s="631"/>
      <c r="G220" s="631"/>
      <c r="H220" s="631"/>
    </row>
    <row r="221" spans="1:8" x14ac:dyDescent="0.2">
      <c r="A221" s="631"/>
      <c r="B221" s="631"/>
      <c r="C221" s="631"/>
      <c r="D221" s="631"/>
      <c r="E221" s="631"/>
      <c r="F221" s="631"/>
      <c r="G221" s="631"/>
      <c r="H221" s="631"/>
    </row>
    <row r="222" spans="1:8" x14ac:dyDescent="0.2">
      <c r="A222" s="631"/>
      <c r="B222" s="631"/>
      <c r="C222" s="631"/>
      <c r="D222" s="631"/>
      <c r="E222" s="631"/>
      <c r="F222" s="631"/>
      <c r="G222" s="631"/>
      <c r="H222" s="631"/>
    </row>
    <row r="223" spans="1:8" x14ac:dyDescent="0.2">
      <c r="A223" s="631"/>
      <c r="B223" s="631"/>
      <c r="C223" s="631"/>
      <c r="D223" s="631"/>
      <c r="E223" s="631"/>
      <c r="F223" s="631"/>
      <c r="G223" s="631"/>
      <c r="H223" s="631"/>
    </row>
    <row r="224" spans="1:8" x14ac:dyDescent="0.2">
      <c r="A224" s="631"/>
      <c r="B224" s="631"/>
      <c r="C224" s="631"/>
      <c r="D224" s="631"/>
      <c r="E224" s="631"/>
      <c r="F224" s="631"/>
      <c r="G224" s="631"/>
      <c r="H224" s="631"/>
    </row>
    <row r="225" spans="1:8" x14ac:dyDescent="0.2">
      <c r="A225" s="631"/>
      <c r="B225" s="631"/>
      <c r="C225" s="631"/>
      <c r="D225" s="631"/>
      <c r="E225" s="631"/>
      <c r="F225" s="631"/>
      <c r="G225" s="631"/>
      <c r="H225" s="631"/>
    </row>
    <row r="226" spans="1:8" x14ac:dyDescent="0.2">
      <c r="A226" s="631"/>
      <c r="B226" s="631"/>
      <c r="C226" s="631"/>
      <c r="D226" s="631"/>
      <c r="E226" s="631"/>
      <c r="F226" s="631"/>
      <c r="G226" s="631"/>
      <c r="H226" s="631"/>
    </row>
    <row r="227" spans="1:8" x14ac:dyDescent="0.2">
      <c r="A227" s="631"/>
      <c r="B227" s="631"/>
      <c r="C227" s="631"/>
      <c r="D227" s="631"/>
      <c r="E227" s="631"/>
      <c r="F227" s="631"/>
      <c r="G227" s="631"/>
      <c r="H227" s="631"/>
    </row>
    <row r="228" spans="1:8" x14ac:dyDescent="0.2">
      <c r="A228" s="631"/>
      <c r="B228" s="631"/>
      <c r="C228" s="631"/>
      <c r="D228" s="631"/>
      <c r="E228" s="631"/>
      <c r="F228" s="631"/>
      <c r="G228" s="631"/>
      <c r="H228" s="631"/>
    </row>
    <row r="229" spans="1:8" x14ac:dyDescent="0.2">
      <c r="A229" s="631"/>
      <c r="B229" s="631"/>
      <c r="C229" s="631"/>
      <c r="D229" s="631"/>
      <c r="E229" s="631"/>
      <c r="F229" s="631"/>
      <c r="G229" s="631"/>
      <c r="H229" s="631"/>
    </row>
    <row r="230" spans="1:8" x14ac:dyDescent="0.2">
      <c r="A230" s="631"/>
      <c r="B230" s="631"/>
      <c r="C230" s="631"/>
      <c r="D230" s="631"/>
      <c r="E230" s="631"/>
      <c r="F230" s="631"/>
      <c r="G230" s="631"/>
      <c r="H230" s="631"/>
    </row>
    <row r="231" spans="1:8" x14ac:dyDescent="0.2">
      <c r="A231" s="631"/>
      <c r="B231" s="631"/>
      <c r="C231" s="631"/>
      <c r="D231" s="631"/>
      <c r="E231" s="631"/>
      <c r="F231" s="631"/>
      <c r="G231" s="631"/>
      <c r="H231" s="631"/>
    </row>
    <row r="232" spans="1:8" x14ac:dyDescent="0.2">
      <c r="A232" s="631"/>
      <c r="B232" s="631"/>
      <c r="C232" s="631"/>
      <c r="D232" s="631"/>
      <c r="E232" s="631"/>
      <c r="F232" s="631"/>
      <c r="G232" s="631"/>
      <c r="H232" s="631"/>
    </row>
    <row r="233" spans="1:8" x14ac:dyDescent="0.2">
      <c r="A233" s="631"/>
      <c r="B233" s="631"/>
      <c r="C233" s="631"/>
      <c r="D233" s="631"/>
      <c r="E233" s="631"/>
      <c r="F233" s="631"/>
      <c r="G233" s="631"/>
      <c r="H233" s="631"/>
    </row>
    <row r="234" spans="1:8" x14ac:dyDescent="0.2">
      <c r="A234" s="631"/>
      <c r="B234" s="631"/>
      <c r="C234" s="631"/>
      <c r="D234" s="631"/>
      <c r="E234" s="631"/>
      <c r="F234" s="631"/>
      <c r="G234" s="631"/>
      <c r="H234" s="631"/>
    </row>
    <row r="235" spans="1:8" x14ac:dyDescent="0.2">
      <c r="A235" s="631"/>
      <c r="B235" s="631"/>
      <c r="C235" s="631"/>
      <c r="D235" s="631"/>
      <c r="E235" s="631"/>
      <c r="F235" s="631"/>
      <c r="G235" s="631"/>
      <c r="H235" s="631"/>
    </row>
    <row r="236" spans="1:8" x14ac:dyDescent="0.2">
      <c r="A236" s="631"/>
      <c r="B236" s="631"/>
      <c r="C236" s="631"/>
      <c r="D236" s="631"/>
      <c r="E236" s="631"/>
      <c r="F236" s="631"/>
      <c r="G236" s="631"/>
      <c r="H236" s="631"/>
    </row>
    <row r="237" spans="1:8" x14ac:dyDescent="0.2">
      <c r="A237" s="631"/>
      <c r="B237" s="631"/>
      <c r="C237" s="631"/>
      <c r="D237" s="631"/>
      <c r="E237" s="631"/>
      <c r="F237" s="631"/>
      <c r="G237" s="631"/>
      <c r="H237" s="631"/>
    </row>
    <row r="238" spans="1:8" x14ac:dyDescent="0.2">
      <c r="A238" s="631"/>
      <c r="B238" s="631"/>
      <c r="C238" s="631"/>
      <c r="D238" s="631"/>
      <c r="E238" s="631"/>
      <c r="F238" s="631"/>
      <c r="G238" s="631"/>
      <c r="H238" s="631"/>
    </row>
    <row r="239" spans="1:8" x14ac:dyDescent="0.2">
      <c r="A239" s="631"/>
      <c r="B239" s="631"/>
      <c r="C239" s="631"/>
      <c r="D239" s="631"/>
      <c r="E239" s="631"/>
      <c r="F239" s="631"/>
      <c r="G239" s="631"/>
      <c r="H239" s="631"/>
    </row>
    <row r="240" spans="1:8" x14ac:dyDescent="0.2">
      <c r="A240" s="631"/>
      <c r="B240" s="631"/>
      <c r="C240" s="631"/>
      <c r="D240" s="631"/>
      <c r="E240" s="631"/>
      <c r="F240" s="631"/>
      <c r="G240" s="631"/>
      <c r="H240" s="631"/>
    </row>
    <row r="241" spans="1:8" x14ac:dyDescent="0.2">
      <c r="A241" s="631"/>
      <c r="B241" s="631"/>
      <c r="C241" s="631"/>
      <c r="D241" s="631"/>
      <c r="E241" s="631"/>
      <c r="F241" s="631"/>
      <c r="G241" s="631"/>
      <c r="H241" s="631"/>
    </row>
    <row r="242" spans="1:8" x14ac:dyDescent="0.2">
      <c r="A242" s="631"/>
      <c r="B242" s="631"/>
      <c r="C242" s="631"/>
      <c r="D242" s="631"/>
      <c r="E242" s="631"/>
      <c r="F242" s="631"/>
      <c r="G242" s="631"/>
      <c r="H242" s="631"/>
    </row>
    <row r="243" spans="1:8" x14ac:dyDescent="0.2">
      <c r="A243" s="631"/>
      <c r="B243" s="631"/>
      <c r="C243" s="631"/>
      <c r="D243" s="631"/>
      <c r="E243" s="631"/>
      <c r="F243" s="631"/>
      <c r="G243" s="631"/>
      <c r="H243" s="631"/>
    </row>
    <row r="244" spans="1:8" x14ac:dyDescent="0.2">
      <c r="A244" s="631"/>
      <c r="B244" s="631"/>
      <c r="C244" s="631"/>
      <c r="D244" s="631"/>
      <c r="E244" s="631"/>
      <c r="F244" s="631"/>
      <c r="G244" s="631"/>
      <c r="H244" s="631"/>
    </row>
    <row r="245" spans="1:8" x14ac:dyDescent="0.2">
      <c r="A245" s="631"/>
      <c r="B245" s="631"/>
      <c r="C245" s="631"/>
      <c r="D245" s="631"/>
      <c r="E245" s="631"/>
      <c r="F245" s="631"/>
      <c r="G245" s="631"/>
      <c r="H245" s="631"/>
    </row>
    <row r="246" spans="1:8" x14ac:dyDescent="0.2">
      <c r="A246" s="631"/>
      <c r="B246" s="631"/>
      <c r="C246" s="631"/>
      <c r="D246" s="631"/>
      <c r="E246" s="631"/>
      <c r="F246" s="631"/>
      <c r="G246" s="631"/>
      <c r="H246" s="631"/>
    </row>
    <row r="247" spans="1:8" x14ac:dyDescent="0.2">
      <c r="A247" s="631"/>
      <c r="B247" s="631"/>
      <c r="C247" s="631"/>
      <c r="D247" s="631"/>
      <c r="E247" s="631"/>
      <c r="F247" s="631"/>
      <c r="G247" s="631"/>
      <c r="H247" s="631"/>
    </row>
    <row r="248" spans="1:8" x14ac:dyDescent="0.2">
      <c r="A248" s="631"/>
      <c r="B248" s="631"/>
      <c r="C248" s="631"/>
      <c r="D248" s="631"/>
      <c r="E248" s="631"/>
      <c r="F248" s="631"/>
      <c r="G248" s="631"/>
      <c r="H248" s="631"/>
    </row>
    <row r="249" spans="1:8" x14ac:dyDescent="0.2">
      <c r="A249" s="631"/>
      <c r="B249" s="631"/>
      <c r="C249" s="631"/>
      <c r="D249" s="631"/>
      <c r="E249" s="631"/>
      <c r="F249" s="631"/>
      <c r="G249" s="631"/>
      <c r="H249" s="631"/>
    </row>
    <row r="250" spans="1:8" x14ac:dyDescent="0.2">
      <c r="A250" s="631"/>
      <c r="B250" s="631"/>
      <c r="C250" s="631"/>
      <c r="D250" s="631"/>
      <c r="E250" s="631"/>
      <c r="F250" s="631"/>
      <c r="G250" s="631"/>
      <c r="H250" s="631"/>
    </row>
    <row r="251" spans="1:8" x14ac:dyDescent="0.2">
      <c r="A251" s="631"/>
      <c r="B251" s="631"/>
      <c r="C251" s="631"/>
      <c r="D251" s="631"/>
      <c r="E251" s="631"/>
      <c r="F251" s="631"/>
      <c r="G251" s="631"/>
      <c r="H251" s="631"/>
    </row>
    <row r="252" spans="1:8" x14ac:dyDescent="0.2">
      <c r="A252" s="631"/>
      <c r="B252" s="631"/>
      <c r="C252" s="631"/>
      <c r="D252" s="631"/>
      <c r="E252" s="631"/>
      <c r="F252" s="631"/>
      <c r="G252" s="631"/>
      <c r="H252" s="631"/>
    </row>
    <row r="253" spans="1:8" x14ac:dyDescent="0.2">
      <c r="A253" s="631"/>
      <c r="B253" s="631"/>
      <c r="C253" s="631"/>
      <c r="D253" s="631"/>
      <c r="E253" s="631"/>
      <c r="F253" s="631"/>
      <c r="G253" s="631"/>
      <c r="H253" s="631"/>
    </row>
    <row r="254" spans="1:8" x14ac:dyDescent="0.2">
      <c r="A254" s="631"/>
      <c r="B254" s="631"/>
      <c r="C254" s="631"/>
      <c r="D254" s="631"/>
      <c r="E254" s="631"/>
      <c r="F254" s="631"/>
      <c r="G254" s="631"/>
      <c r="H254" s="631"/>
    </row>
    <row r="255" spans="1:8" x14ac:dyDescent="0.2">
      <c r="A255" s="631"/>
      <c r="B255" s="631"/>
      <c r="C255" s="631"/>
      <c r="D255" s="631"/>
      <c r="E255" s="631"/>
      <c r="F255" s="631"/>
      <c r="G255" s="631"/>
      <c r="H255" s="631"/>
    </row>
    <row r="256" spans="1:8" x14ac:dyDescent="0.2">
      <c r="A256" s="631"/>
      <c r="B256" s="631"/>
      <c r="C256" s="631"/>
      <c r="D256" s="631"/>
      <c r="E256" s="631"/>
      <c r="F256" s="631"/>
      <c r="G256" s="631"/>
      <c r="H256" s="631"/>
    </row>
    <row r="257" spans="1:8" x14ac:dyDescent="0.2">
      <c r="A257" s="631"/>
      <c r="B257" s="631"/>
      <c r="C257" s="631"/>
      <c r="D257" s="631"/>
      <c r="E257" s="631"/>
      <c r="F257" s="631"/>
      <c r="G257" s="631"/>
      <c r="H257" s="631"/>
    </row>
    <row r="258" spans="1:8" x14ac:dyDescent="0.2">
      <c r="A258" s="631"/>
      <c r="B258" s="631"/>
      <c r="C258" s="631"/>
      <c r="D258" s="631"/>
      <c r="E258" s="631"/>
      <c r="F258" s="631"/>
      <c r="G258" s="631"/>
      <c r="H258" s="631"/>
    </row>
    <row r="259" spans="1:8" x14ac:dyDescent="0.2">
      <c r="A259" s="631"/>
      <c r="B259" s="631"/>
      <c r="C259" s="631"/>
      <c r="D259" s="631"/>
      <c r="E259" s="631"/>
      <c r="F259" s="631"/>
      <c r="G259" s="631"/>
      <c r="H259" s="631"/>
    </row>
    <row r="260" spans="1:8" x14ac:dyDescent="0.2">
      <c r="A260" s="631"/>
      <c r="B260" s="631"/>
      <c r="C260" s="631"/>
      <c r="D260" s="631"/>
      <c r="E260" s="631"/>
      <c r="F260" s="631"/>
      <c r="G260" s="631"/>
      <c r="H260" s="631"/>
    </row>
    <row r="261" spans="1:8" x14ac:dyDescent="0.2">
      <c r="A261" s="631"/>
      <c r="B261" s="631"/>
      <c r="C261" s="631"/>
      <c r="D261" s="631"/>
      <c r="E261" s="631"/>
      <c r="F261" s="631"/>
      <c r="G261" s="631"/>
      <c r="H261" s="631"/>
    </row>
    <row r="262" spans="1:8" x14ac:dyDescent="0.2">
      <c r="A262" s="631"/>
      <c r="B262" s="631"/>
      <c r="C262" s="631"/>
      <c r="D262" s="631"/>
      <c r="E262" s="631"/>
      <c r="F262" s="631"/>
      <c r="G262" s="631"/>
      <c r="H262" s="631"/>
    </row>
    <row r="263" spans="1:8" x14ac:dyDescent="0.2">
      <c r="A263" s="631"/>
      <c r="B263" s="631"/>
      <c r="C263" s="631"/>
      <c r="D263" s="631"/>
      <c r="E263" s="631"/>
      <c r="F263" s="631"/>
      <c r="G263" s="631"/>
      <c r="H263" s="631"/>
    </row>
    <row r="264" spans="1:8" x14ac:dyDescent="0.2">
      <c r="A264" s="631"/>
      <c r="B264" s="631"/>
      <c r="C264" s="631"/>
      <c r="D264" s="631"/>
      <c r="E264" s="631"/>
      <c r="F264" s="631"/>
      <c r="G264" s="631"/>
      <c r="H264" s="631"/>
    </row>
    <row r="265" spans="1:8" x14ac:dyDescent="0.2">
      <c r="A265" s="631"/>
      <c r="B265" s="631"/>
      <c r="C265" s="631"/>
      <c r="D265" s="631"/>
      <c r="E265" s="631"/>
      <c r="F265" s="631"/>
      <c r="G265" s="631"/>
      <c r="H265" s="631"/>
    </row>
    <row r="266" spans="1:8" x14ac:dyDescent="0.2">
      <c r="A266" s="631"/>
      <c r="B266" s="631"/>
      <c r="C266" s="631"/>
      <c r="D266" s="631"/>
      <c r="E266" s="631"/>
      <c r="F266" s="631"/>
      <c r="G266" s="631"/>
      <c r="H266" s="631"/>
    </row>
    <row r="267" spans="1:8" x14ac:dyDescent="0.2">
      <c r="A267" s="631"/>
      <c r="B267" s="631"/>
      <c r="C267" s="631"/>
      <c r="D267" s="631"/>
      <c r="E267" s="631"/>
      <c r="F267" s="631"/>
      <c r="G267" s="631"/>
      <c r="H267" s="631"/>
    </row>
    <row r="268" spans="1:8" x14ac:dyDescent="0.2">
      <c r="A268" s="631"/>
      <c r="B268" s="631"/>
      <c r="C268" s="631"/>
      <c r="D268" s="631"/>
      <c r="E268" s="631"/>
      <c r="F268" s="631"/>
      <c r="G268" s="631"/>
      <c r="H268" s="631"/>
    </row>
    <row r="269" spans="1:8" x14ac:dyDescent="0.2">
      <c r="A269" s="631"/>
      <c r="B269" s="631"/>
      <c r="C269" s="631"/>
      <c r="D269" s="631"/>
      <c r="E269" s="631"/>
      <c r="F269" s="631"/>
      <c r="G269" s="631"/>
      <c r="H269" s="631"/>
    </row>
    <row r="270" spans="1:8" x14ac:dyDescent="0.2">
      <c r="A270" s="631"/>
      <c r="B270" s="631"/>
      <c r="C270" s="631"/>
      <c r="D270" s="631"/>
      <c r="E270" s="631"/>
      <c r="F270" s="631"/>
      <c r="G270" s="631"/>
      <c r="H270" s="631"/>
    </row>
    <row r="271" spans="1:8" x14ac:dyDescent="0.2">
      <c r="A271" s="631"/>
      <c r="B271" s="631"/>
      <c r="C271" s="631"/>
      <c r="D271" s="631"/>
      <c r="E271" s="631"/>
      <c r="F271" s="631"/>
      <c r="G271" s="631"/>
      <c r="H271" s="631"/>
    </row>
    <row r="272" spans="1:8" x14ac:dyDescent="0.2">
      <c r="A272" s="631"/>
      <c r="B272" s="631"/>
      <c r="C272" s="631"/>
      <c r="D272" s="631"/>
      <c r="E272" s="631"/>
      <c r="F272" s="631"/>
      <c r="G272" s="631"/>
      <c r="H272" s="631"/>
    </row>
    <row r="273" spans="1:8" x14ac:dyDescent="0.2">
      <c r="A273" s="631"/>
      <c r="B273" s="631"/>
      <c r="C273" s="631"/>
      <c r="D273" s="631"/>
      <c r="E273" s="631"/>
      <c r="F273" s="631"/>
      <c r="G273" s="631"/>
      <c r="H273" s="631"/>
    </row>
    <row r="274" spans="1:8" x14ac:dyDescent="0.2">
      <c r="A274" s="631"/>
      <c r="B274" s="631"/>
      <c r="C274" s="631"/>
      <c r="D274" s="631"/>
      <c r="E274" s="631"/>
      <c r="F274" s="631"/>
      <c r="G274" s="631"/>
      <c r="H274" s="631"/>
    </row>
    <row r="275" spans="1:8" x14ac:dyDescent="0.2">
      <c r="A275" s="631"/>
      <c r="B275" s="631"/>
      <c r="C275" s="631"/>
      <c r="D275" s="631"/>
      <c r="E275" s="631"/>
      <c r="F275" s="631"/>
      <c r="G275" s="631"/>
      <c r="H275" s="631"/>
    </row>
    <row r="276" spans="1:8" x14ac:dyDescent="0.2">
      <c r="A276" s="631"/>
      <c r="B276" s="631"/>
      <c r="C276" s="631"/>
      <c r="D276" s="631"/>
      <c r="E276" s="631"/>
      <c r="F276" s="631"/>
      <c r="G276" s="631"/>
      <c r="H276" s="631"/>
    </row>
    <row r="277" spans="1:8" x14ac:dyDescent="0.2">
      <c r="A277" s="631"/>
      <c r="B277" s="631"/>
      <c r="C277" s="631"/>
      <c r="D277" s="631"/>
      <c r="E277" s="631"/>
      <c r="F277" s="631"/>
      <c r="G277" s="631"/>
      <c r="H277" s="631"/>
    </row>
    <row r="278" spans="1:8" x14ac:dyDescent="0.2">
      <c r="A278" s="631"/>
      <c r="B278" s="631"/>
      <c r="C278" s="631"/>
      <c r="D278" s="631"/>
      <c r="E278" s="631"/>
      <c r="F278" s="631"/>
      <c r="G278" s="631"/>
      <c r="H278" s="631"/>
    </row>
    <row r="279" spans="1:8" x14ac:dyDescent="0.2">
      <c r="A279" s="631"/>
      <c r="B279" s="631"/>
      <c r="C279" s="631"/>
      <c r="D279" s="631"/>
      <c r="E279" s="631"/>
      <c r="F279" s="631"/>
      <c r="G279" s="631"/>
      <c r="H279" s="631"/>
    </row>
    <row r="280" spans="1:8" x14ac:dyDescent="0.2">
      <c r="A280" s="631"/>
      <c r="B280" s="631"/>
      <c r="C280" s="631"/>
      <c r="D280" s="631"/>
      <c r="E280" s="631"/>
      <c r="F280" s="631"/>
      <c r="G280" s="631"/>
      <c r="H280" s="631"/>
    </row>
    <row r="281" spans="1:8" x14ac:dyDescent="0.2">
      <c r="A281" s="631"/>
      <c r="B281" s="631"/>
      <c r="C281" s="631"/>
      <c r="D281" s="631"/>
      <c r="E281" s="631"/>
      <c r="F281" s="631"/>
      <c r="G281" s="631"/>
      <c r="H281" s="631"/>
    </row>
    <row r="282" spans="1:8" x14ac:dyDescent="0.2">
      <c r="A282" s="631"/>
      <c r="B282" s="631"/>
      <c r="C282" s="631"/>
      <c r="D282" s="631"/>
      <c r="E282" s="631"/>
      <c r="F282" s="631"/>
      <c r="G282" s="631"/>
      <c r="H282" s="631"/>
    </row>
    <row r="283" spans="1:8" x14ac:dyDescent="0.2">
      <c r="A283" s="631"/>
      <c r="B283" s="631"/>
      <c r="C283" s="631"/>
      <c r="D283" s="631"/>
      <c r="E283" s="631"/>
      <c r="F283" s="631"/>
      <c r="G283" s="631"/>
      <c r="H283" s="631"/>
    </row>
    <row r="284" spans="1:8" x14ac:dyDescent="0.2">
      <c r="A284" s="631"/>
      <c r="B284" s="631"/>
      <c r="C284" s="631"/>
      <c r="D284" s="631"/>
      <c r="E284" s="631"/>
      <c r="F284" s="631"/>
      <c r="G284" s="631"/>
      <c r="H284" s="631"/>
    </row>
    <row r="285" spans="1:8" x14ac:dyDescent="0.2">
      <c r="A285" s="631"/>
      <c r="B285" s="631"/>
      <c r="C285" s="631"/>
      <c r="D285" s="631"/>
      <c r="E285" s="631"/>
      <c r="F285" s="631"/>
      <c r="G285" s="631"/>
      <c r="H285" s="631"/>
    </row>
    <row r="286" spans="1:8" x14ac:dyDescent="0.2">
      <c r="A286" s="631"/>
      <c r="B286" s="631"/>
      <c r="C286" s="631"/>
      <c r="D286" s="631"/>
      <c r="E286" s="631"/>
      <c r="F286" s="631"/>
      <c r="G286" s="631"/>
      <c r="H286" s="631"/>
    </row>
    <row r="287" spans="1:8" x14ac:dyDescent="0.2">
      <c r="A287" s="631"/>
      <c r="B287" s="631"/>
      <c r="C287" s="631"/>
      <c r="D287" s="631"/>
      <c r="E287" s="631"/>
      <c r="F287" s="631"/>
      <c r="G287" s="631"/>
      <c r="H287" s="631"/>
    </row>
    <row r="288" spans="1:8" x14ac:dyDescent="0.2">
      <c r="A288" s="631"/>
      <c r="B288" s="631"/>
      <c r="C288" s="631"/>
      <c r="D288" s="631"/>
      <c r="E288" s="631"/>
      <c r="F288" s="631"/>
      <c r="G288" s="631"/>
      <c r="H288" s="631"/>
    </row>
    <row r="289" spans="1:8" x14ac:dyDescent="0.2">
      <c r="A289" s="631"/>
      <c r="B289" s="631"/>
      <c r="C289" s="631"/>
      <c r="D289" s="631"/>
      <c r="E289" s="631"/>
      <c r="F289" s="631"/>
      <c r="G289" s="631"/>
      <c r="H289" s="631"/>
    </row>
    <row r="290" spans="1:8" x14ac:dyDescent="0.2">
      <c r="A290" s="631"/>
      <c r="B290" s="631"/>
      <c r="C290" s="631"/>
      <c r="D290" s="631"/>
      <c r="E290" s="631"/>
      <c r="F290" s="631"/>
      <c r="G290" s="631"/>
      <c r="H290" s="631"/>
    </row>
    <row r="291" spans="1:8" x14ac:dyDescent="0.2">
      <c r="A291" s="631"/>
      <c r="B291" s="631"/>
      <c r="C291" s="631"/>
      <c r="D291" s="631"/>
      <c r="E291" s="631"/>
      <c r="F291" s="631"/>
      <c r="G291" s="631"/>
      <c r="H291" s="631"/>
    </row>
    <row r="292" spans="1:8" x14ac:dyDescent="0.2">
      <c r="A292" s="631"/>
      <c r="B292" s="631"/>
      <c r="C292" s="631"/>
      <c r="D292" s="631"/>
      <c r="E292" s="631"/>
      <c r="F292" s="631"/>
      <c r="G292" s="631"/>
      <c r="H292" s="631"/>
    </row>
    <row r="293" spans="1:8" x14ac:dyDescent="0.2">
      <c r="A293" s="631"/>
      <c r="B293" s="631"/>
      <c r="C293" s="631"/>
      <c r="D293" s="631"/>
      <c r="E293" s="631"/>
      <c r="F293" s="631"/>
      <c r="G293" s="631"/>
      <c r="H293" s="631"/>
    </row>
    <row r="294" spans="1:8" x14ac:dyDescent="0.2">
      <c r="A294" s="631"/>
      <c r="B294" s="631"/>
      <c r="C294" s="631"/>
      <c r="D294" s="631"/>
      <c r="E294" s="631"/>
      <c r="F294" s="631"/>
      <c r="G294" s="631"/>
      <c r="H294" s="631"/>
    </row>
    <row r="295" spans="1:8" x14ac:dyDescent="0.2">
      <c r="A295" s="631"/>
      <c r="B295" s="631"/>
      <c r="C295" s="631"/>
      <c r="D295" s="631"/>
      <c r="E295" s="631"/>
      <c r="F295" s="631"/>
      <c r="G295" s="631"/>
      <c r="H295" s="631"/>
    </row>
    <row r="296" spans="1:8" x14ac:dyDescent="0.2">
      <c r="A296" s="631"/>
      <c r="B296" s="631"/>
      <c r="C296" s="631"/>
      <c r="D296" s="631"/>
      <c r="E296" s="631"/>
      <c r="F296" s="631"/>
      <c r="G296" s="631"/>
      <c r="H296" s="631"/>
    </row>
    <row r="297" spans="1:8" x14ac:dyDescent="0.2">
      <c r="A297" s="631"/>
      <c r="B297" s="631"/>
      <c r="C297" s="631"/>
      <c r="D297" s="631"/>
      <c r="E297" s="631"/>
      <c r="F297" s="631"/>
      <c r="G297" s="631"/>
      <c r="H297" s="631"/>
    </row>
    <row r="298" spans="1:8" x14ac:dyDescent="0.2">
      <c r="A298" s="631"/>
      <c r="B298" s="631"/>
      <c r="C298" s="631"/>
      <c r="D298" s="631"/>
      <c r="E298" s="631"/>
      <c r="F298" s="631"/>
      <c r="G298" s="631"/>
      <c r="H298" s="631"/>
    </row>
    <row r="299" spans="1:8" x14ac:dyDescent="0.2">
      <c r="A299" s="631"/>
      <c r="B299" s="631"/>
      <c r="C299" s="631"/>
      <c r="D299" s="631"/>
      <c r="E299" s="631"/>
      <c r="F299" s="631"/>
      <c r="G299" s="631"/>
      <c r="H299" s="631"/>
    </row>
    <row r="300" spans="1:8" x14ac:dyDescent="0.2">
      <c r="A300" s="631"/>
      <c r="B300" s="631"/>
      <c r="C300" s="631"/>
      <c r="D300" s="631"/>
      <c r="E300" s="631"/>
      <c r="F300" s="631"/>
      <c r="G300" s="631"/>
      <c r="H300" s="631"/>
    </row>
    <row r="301" spans="1:8" x14ac:dyDescent="0.2">
      <c r="A301" s="631"/>
      <c r="B301" s="631"/>
      <c r="C301" s="631"/>
      <c r="D301" s="631"/>
      <c r="E301" s="631"/>
      <c r="F301" s="631"/>
      <c r="G301" s="631"/>
      <c r="H301" s="631"/>
    </row>
    <row r="302" spans="1:8" x14ac:dyDescent="0.2">
      <c r="A302" s="631"/>
      <c r="B302" s="631"/>
      <c r="C302" s="631"/>
      <c r="D302" s="631"/>
      <c r="E302" s="631"/>
      <c r="F302" s="631"/>
      <c r="G302" s="631"/>
      <c r="H302" s="631"/>
    </row>
    <row r="303" spans="1:8" x14ac:dyDescent="0.2">
      <c r="A303" s="631"/>
      <c r="B303" s="631"/>
      <c r="C303" s="631"/>
      <c r="D303" s="631"/>
      <c r="E303" s="631"/>
      <c r="F303" s="631"/>
      <c r="G303" s="631"/>
      <c r="H303" s="631"/>
    </row>
    <row r="304" spans="1:8" x14ac:dyDescent="0.2">
      <c r="A304" s="631"/>
      <c r="B304" s="631"/>
      <c r="C304" s="631"/>
      <c r="D304" s="631"/>
      <c r="E304" s="631"/>
      <c r="F304" s="631"/>
      <c r="G304" s="631"/>
      <c r="H304" s="631"/>
    </row>
    <row r="305" spans="1:8" x14ac:dyDescent="0.2">
      <c r="A305" s="631"/>
      <c r="B305" s="631"/>
      <c r="C305" s="631"/>
      <c r="D305" s="631"/>
      <c r="E305" s="631"/>
      <c r="F305" s="631"/>
      <c r="G305" s="631"/>
      <c r="H305" s="631"/>
    </row>
    <row r="306" spans="1:8" x14ac:dyDescent="0.2">
      <c r="A306" s="631"/>
      <c r="B306" s="631"/>
      <c r="C306" s="631"/>
      <c r="D306" s="631"/>
      <c r="E306" s="631"/>
      <c r="F306" s="631"/>
      <c r="G306" s="631"/>
      <c r="H306" s="631"/>
    </row>
    <row r="307" spans="1:8" x14ac:dyDescent="0.2">
      <c r="A307" s="631"/>
      <c r="B307" s="631"/>
      <c r="C307" s="631"/>
      <c r="D307" s="631"/>
      <c r="E307" s="631"/>
      <c r="F307" s="631"/>
      <c r="G307" s="631"/>
      <c r="H307" s="631"/>
    </row>
    <row r="308" spans="1:8" x14ac:dyDescent="0.2">
      <c r="A308" s="631"/>
      <c r="B308" s="631"/>
      <c r="C308" s="631"/>
      <c r="D308" s="631"/>
      <c r="E308" s="631"/>
      <c r="F308" s="631"/>
      <c r="G308" s="631"/>
      <c r="H308" s="631"/>
    </row>
    <row r="309" spans="1:8" x14ac:dyDescent="0.2">
      <c r="A309" s="631"/>
      <c r="B309" s="631"/>
      <c r="C309" s="631"/>
      <c r="D309" s="631"/>
      <c r="E309" s="631"/>
      <c r="F309" s="631"/>
      <c r="G309" s="631"/>
      <c r="H309" s="631"/>
    </row>
    <row r="310" spans="1:8" x14ac:dyDescent="0.2">
      <c r="A310" s="631"/>
      <c r="B310" s="631"/>
      <c r="C310" s="631"/>
      <c r="D310" s="631"/>
      <c r="E310" s="631"/>
      <c r="F310" s="631"/>
      <c r="G310" s="631"/>
      <c r="H310" s="631"/>
    </row>
    <row r="311" spans="1:8" x14ac:dyDescent="0.2">
      <c r="A311" s="631"/>
      <c r="B311" s="631"/>
      <c r="C311" s="631"/>
      <c r="D311" s="631"/>
      <c r="E311" s="631"/>
      <c r="F311" s="631"/>
      <c r="G311" s="631"/>
      <c r="H311" s="631"/>
    </row>
    <row r="312" spans="1:8" x14ac:dyDescent="0.2">
      <c r="A312" s="631"/>
      <c r="B312" s="631"/>
      <c r="C312" s="631"/>
      <c r="D312" s="631"/>
      <c r="E312" s="631"/>
      <c r="F312" s="631"/>
      <c r="G312" s="631"/>
      <c r="H312" s="631"/>
    </row>
    <row r="313" spans="1:8" x14ac:dyDescent="0.2">
      <c r="A313" s="631"/>
      <c r="B313" s="631"/>
      <c r="C313" s="631"/>
      <c r="D313" s="631"/>
      <c r="E313" s="631"/>
      <c r="F313" s="631"/>
      <c r="G313" s="631"/>
      <c r="H313" s="631"/>
    </row>
    <row r="314" spans="1:8" x14ac:dyDescent="0.2">
      <c r="A314" s="631"/>
      <c r="B314" s="631"/>
      <c r="C314" s="631"/>
      <c r="D314" s="631"/>
      <c r="E314" s="631"/>
      <c r="F314" s="631"/>
      <c r="G314" s="631"/>
      <c r="H314" s="631"/>
    </row>
    <row r="315" spans="1:8" x14ac:dyDescent="0.2">
      <c r="A315" s="631"/>
      <c r="B315" s="631"/>
      <c r="C315" s="631"/>
      <c r="D315" s="631"/>
      <c r="E315" s="631"/>
      <c r="F315" s="631"/>
      <c r="G315" s="631"/>
      <c r="H315" s="631"/>
    </row>
    <row r="316" spans="1:8" x14ac:dyDescent="0.2">
      <c r="A316" s="631"/>
      <c r="B316" s="631"/>
      <c r="C316" s="631"/>
      <c r="D316" s="631"/>
      <c r="E316" s="631"/>
      <c r="F316" s="631"/>
      <c r="G316" s="631"/>
      <c r="H316" s="631"/>
    </row>
    <row r="317" spans="1:8" x14ac:dyDescent="0.2">
      <c r="A317" s="631"/>
      <c r="B317" s="631"/>
      <c r="C317" s="631"/>
      <c r="D317" s="631"/>
      <c r="E317" s="631"/>
      <c r="F317" s="631"/>
      <c r="G317" s="631"/>
      <c r="H317" s="631"/>
    </row>
    <row r="318" spans="1:8" x14ac:dyDescent="0.2">
      <c r="A318" s="631"/>
      <c r="B318" s="631"/>
      <c r="C318" s="631"/>
      <c r="D318" s="631"/>
      <c r="E318" s="631"/>
      <c r="F318" s="631"/>
      <c r="G318" s="631"/>
      <c r="H318" s="631"/>
    </row>
    <row r="319" spans="1:8" x14ac:dyDescent="0.2">
      <c r="A319" s="631"/>
      <c r="B319" s="631"/>
      <c r="C319" s="631"/>
      <c r="D319" s="631"/>
      <c r="E319" s="631"/>
      <c r="F319" s="631"/>
      <c r="G319" s="631"/>
      <c r="H319" s="631"/>
    </row>
    <row r="320" spans="1:8" x14ac:dyDescent="0.2">
      <c r="A320" s="631"/>
      <c r="B320" s="631"/>
      <c r="C320" s="631"/>
      <c r="D320" s="631"/>
      <c r="E320" s="631"/>
      <c r="F320" s="631"/>
      <c r="G320" s="631"/>
      <c r="H320" s="631"/>
    </row>
    <row r="321" spans="1:8" x14ac:dyDescent="0.2">
      <c r="A321" s="631"/>
      <c r="B321" s="631"/>
      <c r="C321" s="631"/>
      <c r="D321" s="631"/>
      <c r="E321" s="631"/>
      <c r="F321" s="631"/>
      <c r="G321" s="631"/>
      <c r="H321" s="631"/>
    </row>
    <row r="322" spans="1:8" x14ac:dyDescent="0.2">
      <c r="A322" s="631"/>
      <c r="B322" s="631"/>
      <c r="C322" s="631"/>
      <c r="D322" s="631"/>
      <c r="E322" s="631"/>
      <c r="F322" s="631"/>
      <c r="G322" s="631"/>
      <c r="H322" s="631"/>
    </row>
    <row r="323" spans="1:8" x14ac:dyDescent="0.2">
      <c r="A323" s="631"/>
      <c r="B323" s="631"/>
      <c r="C323" s="631"/>
      <c r="D323" s="631"/>
      <c r="E323" s="631"/>
      <c r="F323" s="631"/>
      <c r="G323" s="631"/>
      <c r="H323" s="631"/>
    </row>
    <row r="324" spans="1:8" x14ac:dyDescent="0.2">
      <c r="A324" s="631"/>
      <c r="B324" s="631"/>
      <c r="C324" s="631"/>
      <c r="D324" s="631"/>
      <c r="E324" s="631"/>
      <c r="F324" s="631"/>
      <c r="G324" s="631"/>
      <c r="H324" s="631"/>
    </row>
    <row r="325" spans="1:8" x14ac:dyDescent="0.2">
      <c r="A325" s="631"/>
      <c r="B325" s="631"/>
      <c r="C325" s="631"/>
      <c r="D325" s="631"/>
      <c r="E325" s="631"/>
      <c r="F325" s="631"/>
      <c r="G325" s="631"/>
      <c r="H325" s="631"/>
    </row>
    <row r="326" spans="1:8" x14ac:dyDescent="0.2">
      <c r="A326" s="631"/>
      <c r="B326" s="631"/>
      <c r="C326" s="631"/>
      <c r="D326" s="631"/>
      <c r="E326" s="631"/>
      <c r="F326" s="631"/>
      <c r="G326" s="631"/>
      <c r="H326" s="631"/>
    </row>
    <row r="327" spans="1:8" x14ac:dyDescent="0.2">
      <c r="A327" s="631"/>
      <c r="B327" s="631"/>
      <c r="C327" s="631"/>
      <c r="D327" s="631"/>
      <c r="E327" s="631"/>
      <c r="F327" s="631"/>
      <c r="G327" s="631"/>
      <c r="H327" s="631"/>
    </row>
    <row r="328" spans="1:8" x14ac:dyDescent="0.2">
      <c r="A328" s="631"/>
      <c r="B328" s="631"/>
      <c r="C328" s="631"/>
      <c r="D328" s="631"/>
      <c r="E328" s="631"/>
      <c r="F328" s="631"/>
      <c r="G328" s="631"/>
      <c r="H328" s="631"/>
    </row>
    <row r="329" spans="1:8" x14ac:dyDescent="0.2">
      <c r="A329" s="631"/>
      <c r="B329" s="631"/>
      <c r="C329" s="631"/>
      <c r="D329" s="631"/>
      <c r="E329" s="631"/>
      <c r="F329" s="631"/>
      <c r="G329" s="631"/>
      <c r="H329" s="631"/>
    </row>
    <row r="330" spans="1:8" x14ac:dyDescent="0.2">
      <c r="A330" s="631"/>
      <c r="B330" s="631"/>
      <c r="C330" s="631"/>
      <c r="D330" s="631"/>
      <c r="E330" s="631"/>
      <c r="F330" s="631"/>
      <c r="G330" s="631"/>
      <c r="H330" s="631"/>
    </row>
    <row r="331" spans="1:8" x14ac:dyDescent="0.2">
      <c r="A331" s="631"/>
      <c r="B331" s="631"/>
      <c r="C331" s="631"/>
      <c r="D331" s="631"/>
      <c r="E331" s="631"/>
      <c r="F331" s="631"/>
      <c r="G331" s="631"/>
      <c r="H331" s="631"/>
    </row>
    <row r="332" spans="1:8" x14ac:dyDescent="0.2">
      <c r="A332" s="631"/>
      <c r="B332" s="631"/>
      <c r="C332" s="631"/>
      <c r="D332" s="631"/>
      <c r="E332" s="631"/>
      <c r="F332" s="631"/>
      <c r="G332" s="631"/>
      <c r="H332" s="631"/>
    </row>
    <row r="333" spans="1:8" x14ac:dyDescent="0.2">
      <c r="A333" s="631"/>
      <c r="B333" s="631"/>
      <c r="C333" s="631"/>
      <c r="D333" s="631"/>
      <c r="E333" s="631"/>
      <c r="F333" s="631"/>
      <c r="G333" s="631"/>
      <c r="H333" s="631"/>
    </row>
    <row r="334" spans="1:8" x14ac:dyDescent="0.2">
      <c r="A334" s="631"/>
      <c r="B334" s="631"/>
      <c r="C334" s="631"/>
      <c r="D334" s="631"/>
      <c r="E334" s="631"/>
      <c r="F334" s="631"/>
      <c r="G334" s="631"/>
      <c r="H334" s="631"/>
    </row>
    <row r="335" spans="1:8" x14ac:dyDescent="0.2">
      <c r="A335" s="631"/>
      <c r="B335" s="631"/>
      <c r="C335" s="631"/>
      <c r="D335" s="631"/>
      <c r="E335" s="631"/>
      <c r="F335" s="631"/>
      <c r="G335" s="631"/>
      <c r="H335" s="631"/>
    </row>
    <row r="336" spans="1:8" x14ac:dyDescent="0.2">
      <c r="A336" s="631"/>
      <c r="B336" s="631"/>
      <c r="C336" s="631"/>
      <c r="D336" s="631"/>
      <c r="E336" s="631"/>
      <c r="F336" s="631"/>
      <c r="G336" s="631"/>
      <c r="H336" s="631"/>
    </row>
    <row r="337" spans="1:8" x14ac:dyDescent="0.2">
      <c r="A337" s="631"/>
      <c r="B337" s="631"/>
      <c r="C337" s="631"/>
      <c r="D337" s="631"/>
      <c r="E337" s="631"/>
      <c r="F337" s="631"/>
      <c r="G337" s="631"/>
      <c r="H337" s="631"/>
    </row>
    <row r="338" spans="1:8" x14ac:dyDescent="0.2">
      <c r="A338" s="631"/>
      <c r="B338" s="631"/>
      <c r="C338" s="631"/>
      <c r="D338" s="631"/>
      <c r="E338" s="631"/>
      <c r="F338" s="631"/>
      <c r="G338" s="631"/>
      <c r="H338" s="631"/>
    </row>
    <row r="339" spans="1:8" x14ac:dyDescent="0.2">
      <c r="A339" s="631"/>
      <c r="B339" s="631"/>
      <c r="C339" s="631"/>
      <c r="D339" s="631"/>
      <c r="E339" s="631"/>
      <c r="F339" s="631"/>
      <c r="G339" s="631"/>
      <c r="H339" s="631"/>
    </row>
    <row r="340" spans="1:8" x14ac:dyDescent="0.2">
      <c r="A340" s="631"/>
      <c r="B340" s="631"/>
      <c r="C340" s="631"/>
      <c r="D340" s="631"/>
      <c r="E340" s="631"/>
      <c r="F340" s="631"/>
      <c r="G340" s="631"/>
      <c r="H340" s="631"/>
    </row>
    <row r="341" spans="1:8" x14ac:dyDescent="0.2">
      <c r="A341" s="631"/>
      <c r="B341" s="631"/>
      <c r="C341" s="631"/>
      <c r="D341" s="631"/>
      <c r="E341" s="631"/>
      <c r="F341" s="631"/>
      <c r="G341" s="631"/>
      <c r="H341" s="631"/>
    </row>
    <row r="342" spans="1:8" x14ac:dyDescent="0.2">
      <c r="A342" s="631"/>
      <c r="B342" s="631"/>
      <c r="C342" s="631"/>
      <c r="D342" s="631"/>
      <c r="E342" s="631"/>
      <c r="F342" s="631"/>
      <c r="G342" s="631"/>
      <c r="H342" s="631"/>
    </row>
    <row r="343" spans="1:8" x14ac:dyDescent="0.2">
      <c r="A343" s="631"/>
      <c r="B343" s="631"/>
      <c r="C343" s="631"/>
      <c r="D343" s="631"/>
      <c r="E343" s="631"/>
      <c r="F343" s="631"/>
      <c r="G343" s="631"/>
      <c r="H343" s="631"/>
    </row>
    <row r="344" spans="1:8" x14ac:dyDescent="0.2">
      <c r="A344" s="631"/>
      <c r="B344" s="631"/>
      <c r="C344" s="631"/>
      <c r="D344" s="631"/>
      <c r="E344" s="631"/>
      <c r="F344" s="631"/>
      <c r="G344" s="631"/>
      <c r="H344" s="631"/>
    </row>
    <row r="345" spans="1:8" x14ac:dyDescent="0.2">
      <c r="A345" s="631"/>
      <c r="B345" s="631"/>
      <c r="C345" s="631"/>
      <c r="D345" s="631"/>
      <c r="E345" s="631"/>
      <c r="F345" s="631"/>
      <c r="G345" s="631"/>
      <c r="H345" s="631"/>
    </row>
    <row r="346" spans="1:8" x14ac:dyDescent="0.2">
      <c r="A346" s="631"/>
      <c r="B346" s="631"/>
      <c r="C346" s="631"/>
      <c r="D346" s="631"/>
      <c r="E346" s="631"/>
      <c r="F346" s="631"/>
      <c r="G346" s="631"/>
      <c r="H346" s="631"/>
    </row>
    <row r="347" spans="1:8" x14ac:dyDescent="0.2">
      <c r="A347" s="631"/>
      <c r="B347" s="631"/>
      <c r="C347" s="631"/>
      <c r="D347" s="631"/>
      <c r="E347" s="631"/>
      <c r="F347" s="631"/>
      <c r="G347" s="631"/>
      <c r="H347" s="631"/>
    </row>
    <row r="348" spans="1:8" x14ac:dyDescent="0.2">
      <c r="A348" s="631"/>
      <c r="B348" s="631"/>
      <c r="C348" s="631"/>
      <c r="D348" s="631"/>
      <c r="E348" s="631"/>
      <c r="F348" s="631"/>
      <c r="G348" s="631"/>
      <c r="H348" s="631"/>
    </row>
    <row r="349" spans="1:8" x14ac:dyDescent="0.2">
      <c r="A349" s="631"/>
      <c r="B349" s="631"/>
      <c r="C349" s="631"/>
      <c r="D349" s="631"/>
      <c r="E349" s="631"/>
      <c r="F349" s="631"/>
      <c r="G349" s="631"/>
      <c r="H349" s="631"/>
    </row>
    <row r="350" spans="1:8" x14ac:dyDescent="0.2">
      <c r="A350" s="631"/>
      <c r="B350" s="631"/>
      <c r="C350" s="631"/>
      <c r="D350" s="631"/>
      <c r="E350" s="631"/>
      <c r="F350" s="631"/>
      <c r="G350" s="631"/>
      <c r="H350" s="631"/>
    </row>
    <row r="351" spans="1:8" x14ac:dyDescent="0.2">
      <c r="A351" s="631"/>
      <c r="B351" s="631"/>
      <c r="C351" s="631"/>
      <c r="D351" s="631"/>
      <c r="E351" s="631"/>
      <c r="F351" s="631"/>
      <c r="G351" s="631"/>
      <c r="H351" s="631"/>
    </row>
    <row r="352" spans="1:8" x14ac:dyDescent="0.2">
      <c r="A352" s="631"/>
      <c r="B352" s="631"/>
      <c r="C352" s="631"/>
      <c r="D352" s="631"/>
      <c r="E352" s="631"/>
      <c r="F352" s="631"/>
      <c r="G352" s="631"/>
      <c r="H352" s="631"/>
    </row>
    <row r="353" spans="1:8" x14ac:dyDescent="0.2">
      <c r="A353" s="631"/>
      <c r="B353" s="631"/>
      <c r="C353" s="631"/>
      <c r="D353" s="631"/>
      <c r="E353" s="631"/>
      <c r="F353" s="631"/>
      <c r="G353" s="631"/>
      <c r="H353" s="631"/>
    </row>
    <row r="354" spans="1:8" x14ac:dyDescent="0.2">
      <c r="A354" s="631"/>
      <c r="B354" s="631"/>
      <c r="C354" s="631"/>
      <c r="D354" s="631"/>
      <c r="E354" s="631"/>
      <c r="F354" s="631"/>
      <c r="G354" s="631"/>
      <c r="H354" s="631"/>
    </row>
    <row r="355" spans="1:8" x14ac:dyDescent="0.2">
      <c r="A355" s="631"/>
      <c r="B355" s="631"/>
      <c r="C355" s="631"/>
      <c r="D355" s="631"/>
      <c r="E355" s="631"/>
      <c r="F355" s="631"/>
      <c r="G355" s="631"/>
      <c r="H355" s="631"/>
    </row>
    <row r="356" spans="1:8" x14ac:dyDescent="0.2">
      <c r="A356" s="631"/>
      <c r="B356" s="631"/>
      <c r="C356" s="631"/>
      <c r="D356" s="631"/>
      <c r="E356" s="631"/>
      <c r="F356" s="631"/>
      <c r="G356" s="631"/>
      <c r="H356" s="631"/>
    </row>
    <row r="357" spans="1:8" x14ac:dyDescent="0.2">
      <c r="A357" s="631"/>
      <c r="B357" s="631"/>
      <c r="C357" s="631"/>
      <c r="D357" s="631"/>
      <c r="E357" s="631"/>
      <c r="F357" s="631"/>
      <c r="G357" s="631"/>
      <c r="H357" s="631"/>
    </row>
    <row r="358" spans="1:8" x14ac:dyDescent="0.2">
      <c r="A358" s="631"/>
      <c r="B358" s="631"/>
      <c r="C358" s="631"/>
      <c r="D358" s="631"/>
      <c r="E358" s="631"/>
      <c r="F358" s="631"/>
      <c r="G358" s="631"/>
      <c r="H358" s="631"/>
    </row>
    <row r="359" spans="1:8" x14ac:dyDescent="0.2">
      <c r="A359" s="631"/>
      <c r="B359" s="631"/>
      <c r="C359" s="631"/>
      <c r="D359" s="631"/>
      <c r="E359" s="631"/>
      <c r="F359" s="631"/>
      <c r="G359" s="631"/>
      <c r="H359" s="631"/>
    </row>
    <row r="360" spans="1:8" x14ac:dyDescent="0.2">
      <c r="A360" s="631"/>
      <c r="B360" s="631"/>
      <c r="C360" s="631"/>
      <c r="D360" s="631"/>
      <c r="E360" s="631"/>
      <c r="F360" s="631"/>
      <c r="G360" s="631"/>
      <c r="H360" s="631"/>
    </row>
    <row r="361" spans="1:8" x14ac:dyDescent="0.2">
      <c r="A361" s="631"/>
      <c r="B361" s="631"/>
      <c r="C361" s="631"/>
      <c r="D361" s="631"/>
      <c r="E361" s="631"/>
      <c r="F361" s="631"/>
      <c r="G361" s="631"/>
      <c r="H361" s="631"/>
    </row>
    <row r="362" spans="1:8" x14ac:dyDescent="0.2">
      <c r="A362" s="631"/>
      <c r="B362" s="631"/>
      <c r="C362" s="631"/>
      <c r="D362" s="631"/>
      <c r="E362" s="631"/>
      <c r="F362" s="631"/>
      <c r="G362" s="631"/>
      <c r="H362" s="631"/>
    </row>
    <row r="363" spans="1:8" x14ac:dyDescent="0.2">
      <c r="A363" s="631"/>
      <c r="B363" s="631"/>
      <c r="C363" s="631"/>
      <c r="D363" s="631"/>
      <c r="E363" s="631"/>
      <c r="F363" s="631"/>
      <c r="G363" s="631"/>
      <c r="H363" s="631"/>
    </row>
    <row r="364" spans="1:8" x14ac:dyDescent="0.2">
      <c r="A364" s="631"/>
      <c r="B364" s="631"/>
      <c r="C364" s="631"/>
      <c r="D364" s="631"/>
      <c r="E364" s="631"/>
      <c r="F364" s="631"/>
      <c r="G364" s="631"/>
      <c r="H364" s="631"/>
    </row>
    <row r="365" spans="1:8" x14ac:dyDescent="0.2">
      <c r="A365" s="631"/>
      <c r="B365" s="631"/>
      <c r="C365" s="631"/>
      <c r="D365" s="631"/>
      <c r="E365" s="631"/>
      <c r="F365" s="631"/>
      <c r="G365" s="631"/>
      <c r="H365" s="631"/>
    </row>
    <row r="366" spans="1:8" x14ac:dyDescent="0.2">
      <c r="A366" s="631"/>
      <c r="B366" s="631"/>
      <c r="C366" s="631"/>
      <c r="D366" s="631"/>
      <c r="E366" s="631"/>
      <c r="F366" s="631"/>
      <c r="G366" s="631"/>
      <c r="H366" s="631"/>
    </row>
    <row r="367" spans="1:8" x14ac:dyDescent="0.2">
      <c r="A367" s="631"/>
      <c r="B367" s="631"/>
      <c r="C367" s="631"/>
      <c r="D367" s="631"/>
      <c r="E367" s="631"/>
      <c r="F367" s="631"/>
      <c r="G367" s="631"/>
      <c r="H367" s="631"/>
    </row>
    <row r="368" spans="1:8" x14ac:dyDescent="0.2">
      <c r="A368" s="631"/>
      <c r="B368" s="631"/>
      <c r="C368" s="631"/>
      <c r="D368" s="631"/>
      <c r="E368" s="631"/>
      <c r="F368" s="631"/>
      <c r="G368" s="631"/>
      <c r="H368" s="631"/>
    </row>
    <row r="369" spans="1:8" x14ac:dyDescent="0.2">
      <c r="A369" s="631"/>
      <c r="B369" s="631"/>
      <c r="C369" s="631"/>
      <c r="D369" s="631"/>
      <c r="E369" s="631"/>
      <c r="F369" s="631"/>
      <c r="G369" s="631"/>
      <c r="H369" s="631"/>
    </row>
    <row r="370" spans="1:8" x14ac:dyDescent="0.2">
      <c r="A370" s="631"/>
      <c r="B370" s="631"/>
      <c r="C370" s="631"/>
      <c r="D370" s="631"/>
      <c r="E370" s="631"/>
      <c r="F370" s="631"/>
      <c r="G370" s="631"/>
      <c r="H370" s="631"/>
    </row>
    <row r="371" spans="1:8" x14ac:dyDescent="0.2">
      <c r="A371" s="631"/>
      <c r="B371" s="631"/>
      <c r="C371" s="631"/>
      <c r="D371" s="631"/>
      <c r="E371" s="631"/>
      <c r="F371" s="631"/>
      <c r="G371" s="631"/>
      <c r="H371" s="631"/>
    </row>
    <row r="372" spans="1:8" x14ac:dyDescent="0.2">
      <c r="A372" s="631"/>
      <c r="B372" s="631"/>
      <c r="C372" s="631"/>
      <c r="D372" s="631"/>
      <c r="E372" s="631"/>
      <c r="F372" s="631"/>
      <c r="G372" s="631"/>
      <c r="H372" s="631"/>
    </row>
    <row r="373" spans="1:8" x14ac:dyDescent="0.2">
      <c r="A373" s="631"/>
      <c r="B373" s="631"/>
      <c r="C373" s="631"/>
      <c r="D373" s="631"/>
      <c r="E373" s="631"/>
      <c r="F373" s="631"/>
      <c r="G373" s="631"/>
      <c r="H373" s="631"/>
    </row>
    <row r="374" spans="1:8" x14ac:dyDescent="0.2">
      <c r="A374" s="631"/>
      <c r="B374" s="631"/>
      <c r="C374" s="631"/>
      <c r="D374" s="631"/>
      <c r="E374" s="631"/>
      <c r="F374" s="631"/>
      <c r="G374" s="631"/>
      <c r="H374" s="631"/>
    </row>
    <row r="375" spans="1:8" x14ac:dyDescent="0.2">
      <c r="A375" s="631"/>
      <c r="B375" s="631"/>
      <c r="C375" s="631"/>
      <c r="D375" s="631"/>
      <c r="E375" s="631"/>
      <c r="F375" s="631"/>
      <c r="G375" s="631"/>
      <c r="H375" s="631"/>
    </row>
    <row r="376" spans="1:8" x14ac:dyDescent="0.2">
      <c r="A376" s="631"/>
      <c r="B376" s="631"/>
      <c r="C376" s="631"/>
      <c r="D376" s="631"/>
      <c r="E376" s="631"/>
      <c r="F376" s="631"/>
      <c r="G376" s="631"/>
      <c r="H376" s="631"/>
    </row>
    <row r="377" spans="1:8" x14ac:dyDescent="0.2">
      <c r="A377" s="631"/>
      <c r="B377" s="631"/>
      <c r="C377" s="631"/>
      <c r="D377" s="631"/>
      <c r="E377" s="631"/>
      <c r="F377" s="631"/>
      <c r="G377" s="631"/>
      <c r="H377" s="631"/>
    </row>
    <row r="378" spans="1:8" x14ac:dyDescent="0.2">
      <c r="A378" s="631"/>
      <c r="B378" s="631"/>
      <c r="C378" s="631"/>
      <c r="D378" s="631"/>
      <c r="E378" s="631"/>
      <c r="F378" s="631"/>
      <c r="G378" s="631"/>
      <c r="H378" s="631"/>
    </row>
    <row r="379" spans="1:8" x14ac:dyDescent="0.2">
      <c r="A379" s="631"/>
      <c r="B379" s="631"/>
      <c r="C379" s="631"/>
      <c r="D379" s="631"/>
      <c r="E379" s="631"/>
      <c r="F379" s="631"/>
      <c r="G379" s="631"/>
      <c r="H379" s="631"/>
    </row>
    <row r="380" spans="1:8" x14ac:dyDescent="0.2">
      <c r="A380" s="631"/>
      <c r="B380" s="631"/>
      <c r="C380" s="631"/>
      <c r="D380" s="631"/>
      <c r="E380" s="631"/>
      <c r="F380" s="631"/>
      <c r="G380" s="631"/>
      <c r="H380" s="631"/>
    </row>
    <row r="381" spans="1:8" x14ac:dyDescent="0.2">
      <c r="A381" s="631"/>
      <c r="B381" s="631"/>
      <c r="C381" s="631"/>
      <c r="D381" s="631"/>
      <c r="E381" s="631"/>
      <c r="F381" s="631"/>
      <c r="G381" s="631"/>
      <c r="H381" s="631"/>
    </row>
    <row r="382" spans="1:8" x14ac:dyDescent="0.2">
      <c r="A382" s="631"/>
      <c r="B382" s="631"/>
      <c r="C382" s="631"/>
      <c r="D382" s="631"/>
      <c r="E382" s="631"/>
      <c r="F382" s="631"/>
      <c r="G382" s="631"/>
      <c r="H382" s="631"/>
    </row>
    <row r="383" spans="1:8" x14ac:dyDescent="0.2">
      <c r="A383" s="631"/>
      <c r="B383" s="631"/>
      <c r="C383" s="631"/>
      <c r="D383" s="631"/>
      <c r="E383" s="631"/>
      <c r="F383" s="631"/>
      <c r="G383" s="631"/>
      <c r="H383" s="631"/>
    </row>
    <row r="384" spans="1:8" x14ac:dyDescent="0.2">
      <c r="A384" s="631"/>
      <c r="B384" s="631"/>
      <c r="C384" s="631"/>
      <c r="D384" s="631"/>
      <c r="E384" s="631"/>
      <c r="F384" s="631"/>
      <c r="G384" s="631"/>
      <c r="H384" s="631"/>
    </row>
    <row r="385" spans="1:8" x14ac:dyDescent="0.2">
      <c r="A385" s="631"/>
      <c r="B385" s="631"/>
      <c r="C385" s="631"/>
      <c r="D385" s="631"/>
      <c r="E385" s="631"/>
      <c r="F385" s="631"/>
      <c r="G385" s="631"/>
      <c r="H385" s="631"/>
    </row>
    <row r="386" spans="1:8" x14ac:dyDescent="0.2">
      <c r="A386" s="631"/>
      <c r="B386" s="631"/>
      <c r="C386" s="631"/>
      <c r="D386" s="631"/>
      <c r="E386" s="631"/>
      <c r="F386" s="631"/>
      <c r="G386" s="631"/>
      <c r="H386" s="631"/>
    </row>
    <row r="387" spans="1:8" x14ac:dyDescent="0.2">
      <c r="A387" s="631"/>
      <c r="B387" s="631"/>
      <c r="C387" s="631"/>
      <c r="D387" s="631"/>
      <c r="E387" s="631"/>
      <c r="F387" s="631"/>
      <c r="G387" s="631"/>
      <c r="H387" s="631"/>
    </row>
    <row r="388" spans="1:8" x14ac:dyDescent="0.2">
      <c r="A388" s="631"/>
      <c r="B388" s="631"/>
      <c r="C388" s="631"/>
      <c r="D388" s="631"/>
      <c r="E388" s="631"/>
      <c r="F388" s="631"/>
      <c r="G388" s="631"/>
      <c r="H388" s="631"/>
    </row>
    <row r="389" spans="1:8" x14ac:dyDescent="0.2">
      <c r="A389" s="631"/>
      <c r="B389" s="631"/>
      <c r="C389" s="631"/>
      <c r="D389" s="631"/>
      <c r="E389" s="631"/>
      <c r="F389" s="631"/>
      <c r="G389" s="631"/>
      <c r="H389" s="631"/>
    </row>
    <row r="390" spans="1:8" x14ac:dyDescent="0.2">
      <c r="A390" s="631"/>
      <c r="B390" s="631"/>
      <c r="C390" s="631"/>
      <c r="D390" s="631"/>
      <c r="E390" s="631"/>
      <c r="F390" s="631"/>
      <c r="G390" s="631"/>
      <c r="H390" s="631"/>
    </row>
    <row r="391" spans="1:8" x14ac:dyDescent="0.2">
      <c r="A391" s="631"/>
      <c r="B391" s="631"/>
      <c r="C391" s="631"/>
      <c r="D391" s="631"/>
      <c r="E391" s="631"/>
      <c r="F391" s="631"/>
      <c r="G391" s="631"/>
      <c r="H391" s="631"/>
    </row>
    <row r="392" spans="1:8" x14ac:dyDescent="0.2">
      <c r="A392" s="631"/>
      <c r="B392" s="631"/>
      <c r="C392" s="631"/>
      <c r="D392" s="631"/>
      <c r="E392" s="631"/>
      <c r="F392" s="631"/>
      <c r="G392" s="631"/>
      <c r="H392" s="631"/>
    </row>
    <row r="393" spans="1:8" x14ac:dyDescent="0.2">
      <c r="A393" s="631"/>
      <c r="B393" s="631"/>
      <c r="C393" s="631"/>
      <c r="D393" s="631"/>
      <c r="E393" s="631"/>
      <c r="F393" s="631"/>
      <c r="G393" s="631"/>
      <c r="H393" s="631"/>
    </row>
    <row r="394" spans="1:8" x14ac:dyDescent="0.2">
      <c r="A394" s="631"/>
      <c r="B394" s="631"/>
      <c r="C394" s="631"/>
      <c r="D394" s="631"/>
      <c r="E394" s="631"/>
      <c r="F394" s="631"/>
      <c r="G394" s="631"/>
      <c r="H394" s="631"/>
    </row>
    <row r="395" spans="1:8" x14ac:dyDescent="0.2">
      <c r="A395" s="631"/>
      <c r="B395" s="631"/>
      <c r="C395" s="631"/>
      <c r="D395" s="631"/>
      <c r="E395" s="631"/>
      <c r="F395" s="631"/>
      <c r="G395" s="631"/>
      <c r="H395" s="631"/>
    </row>
    <row r="396" spans="1:8" x14ac:dyDescent="0.2">
      <c r="A396" s="631"/>
      <c r="B396" s="631"/>
      <c r="C396" s="631"/>
      <c r="D396" s="631"/>
      <c r="E396" s="631"/>
      <c r="F396" s="631"/>
      <c r="G396" s="631"/>
      <c r="H396" s="631"/>
    </row>
    <row r="397" spans="1:8" x14ac:dyDescent="0.2">
      <c r="A397" s="631"/>
      <c r="B397" s="631"/>
      <c r="C397" s="631"/>
      <c r="D397" s="631"/>
      <c r="E397" s="631"/>
      <c r="F397" s="631"/>
      <c r="G397" s="631"/>
      <c r="H397" s="631"/>
    </row>
    <row r="398" spans="1:8" x14ac:dyDescent="0.2">
      <c r="A398" s="631"/>
      <c r="B398" s="631"/>
      <c r="C398" s="631"/>
      <c r="D398" s="631"/>
      <c r="E398" s="631"/>
      <c r="F398" s="631"/>
      <c r="G398" s="631"/>
      <c r="H398" s="631"/>
    </row>
    <row r="399" spans="1:8" x14ac:dyDescent="0.2">
      <c r="A399" s="631"/>
      <c r="B399" s="631"/>
      <c r="C399" s="631"/>
      <c r="D399" s="631"/>
      <c r="E399" s="631"/>
      <c r="F399" s="631"/>
      <c r="G399" s="631"/>
      <c r="H399" s="631"/>
    </row>
    <row r="400" spans="1:8" x14ac:dyDescent="0.2">
      <c r="A400" s="631"/>
      <c r="B400" s="631"/>
      <c r="C400" s="631"/>
      <c r="D400" s="631"/>
      <c r="E400" s="631"/>
      <c r="F400" s="631"/>
      <c r="G400" s="631"/>
      <c r="H400" s="631"/>
    </row>
    <row r="401" spans="1:8" x14ac:dyDescent="0.2">
      <c r="A401" s="631"/>
      <c r="B401" s="631"/>
      <c r="C401" s="631"/>
      <c r="D401" s="631"/>
      <c r="E401" s="631"/>
      <c r="F401" s="631"/>
      <c r="G401" s="631"/>
      <c r="H401" s="631"/>
    </row>
    <row r="402" spans="1:8" x14ac:dyDescent="0.2">
      <c r="A402" s="631"/>
      <c r="B402" s="631"/>
      <c r="C402" s="631"/>
      <c r="D402" s="631"/>
      <c r="E402" s="631"/>
      <c r="F402" s="631"/>
      <c r="G402" s="631"/>
      <c r="H402" s="631"/>
    </row>
    <row r="403" spans="1:8" x14ac:dyDescent="0.2">
      <c r="A403" s="631"/>
      <c r="B403" s="631"/>
      <c r="C403" s="631"/>
      <c r="D403" s="631"/>
      <c r="E403" s="631"/>
      <c r="F403" s="631"/>
      <c r="G403" s="631"/>
      <c r="H403" s="631"/>
    </row>
    <row r="404" spans="1:8" x14ac:dyDescent="0.2">
      <c r="A404" s="631"/>
      <c r="B404" s="631"/>
      <c r="C404" s="631"/>
      <c r="D404" s="631"/>
      <c r="E404" s="631"/>
      <c r="F404" s="631"/>
      <c r="G404" s="631"/>
      <c r="H404" s="631"/>
    </row>
    <row r="405" spans="1:8" x14ac:dyDescent="0.2">
      <c r="A405" s="631"/>
      <c r="B405" s="631"/>
      <c r="C405" s="631"/>
      <c r="D405" s="631"/>
      <c r="E405" s="631"/>
      <c r="F405" s="631"/>
      <c r="G405" s="631"/>
      <c r="H405" s="631"/>
    </row>
    <row r="406" spans="1:8" x14ac:dyDescent="0.2">
      <c r="A406" s="631"/>
      <c r="B406" s="631"/>
      <c r="C406" s="631"/>
      <c r="D406" s="631"/>
      <c r="E406" s="631"/>
      <c r="F406" s="631"/>
      <c r="G406" s="631"/>
      <c r="H406" s="631"/>
    </row>
    <row r="407" spans="1:8" x14ac:dyDescent="0.2">
      <c r="A407" s="631"/>
      <c r="B407" s="631"/>
      <c r="C407" s="631"/>
      <c r="D407" s="631"/>
      <c r="E407" s="631"/>
      <c r="F407" s="631"/>
      <c r="G407" s="631"/>
      <c r="H407" s="631"/>
    </row>
    <row r="408" spans="1:8" x14ac:dyDescent="0.2">
      <c r="A408" s="631"/>
      <c r="B408" s="631"/>
      <c r="C408" s="631"/>
      <c r="D408" s="631"/>
      <c r="E408" s="631"/>
      <c r="F408" s="631"/>
      <c r="G408" s="631"/>
      <c r="H408" s="631"/>
    </row>
    <row r="409" spans="1:8" x14ac:dyDescent="0.2">
      <c r="A409" s="631"/>
      <c r="B409" s="631"/>
      <c r="C409" s="631"/>
      <c r="D409" s="631"/>
      <c r="E409" s="631"/>
      <c r="F409" s="631"/>
      <c r="G409" s="631"/>
      <c r="H409" s="631"/>
    </row>
    <row r="410" spans="1:8" x14ac:dyDescent="0.2">
      <c r="A410" s="631"/>
      <c r="B410" s="631"/>
      <c r="C410" s="631"/>
      <c r="D410" s="631"/>
      <c r="E410" s="631"/>
      <c r="F410" s="631"/>
      <c r="G410" s="631"/>
      <c r="H410" s="631"/>
    </row>
    <row r="411" spans="1:8" x14ac:dyDescent="0.2">
      <c r="A411" s="631"/>
      <c r="B411" s="631"/>
      <c r="C411" s="631"/>
      <c r="D411" s="631"/>
      <c r="E411" s="631"/>
      <c r="F411" s="631"/>
      <c r="G411" s="631"/>
      <c r="H411" s="631"/>
    </row>
    <row r="412" spans="1:8" x14ac:dyDescent="0.2">
      <c r="A412" s="631"/>
      <c r="B412" s="631"/>
      <c r="C412" s="631"/>
      <c r="D412" s="631"/>
      <c r="E412" s="631"/>
      <c r="F412" s="631"/>
      <c r="G412" s="631"/>
      <c r="H412" s="631"/>
    </row>
    <row r="413" spans="1:8" x14ac:dyDescent="0.2">
      <c r="A413" s="631"/>
      <c r="B413" s="631"/>
      <c r="C413" s="631"/>
      <c r="D413" s="631"/>
      <c r="E413" s="631"/>
      <c r="F413" s="631"/>
      <c r="G413" s="631"/>
      <c r="H413" s="631"/>
    </row>
    <row r="414" spans="1:8" x14ac:dyDescent="0.2">
      <c r="A414" s="631"/>
      <c r="B414" s="631"/>
      <c r="C414" s="631"/>
      <c r="D414" s="631"/>
      <c r="E414" s="631"/>
      <c r="F414" s="631"/>
      <c r="G414" s="631"/>
      <c r="H414" s="631"/>
    </row>
    <row r="415" spans="1:8" x14ac:dyDescent="0.2">
      <c r="A415" s="631"/>
      <c r="B415" s="631"/>
      <c r="C415" s="631"/>
      <c r="D415" s="631"/>
      <c r="E415" s="631"/>
      <c r="F415" s="631"/>
      <c r="G415" s="631"/>
      <c r="H415" s="631"/>
    </row>
    <row r="416" spans="1:8" x14ac:dyDescent="0.2">
      <c r="A416" s="631"/>
      <c r="B416" s="631"/>
      <c r="C416" s="631"/>
      <c r="D416" s="631"/>
      <c r="E416" s="631"/>
      <c r="F416" s="631"/>
      <c r="G416" s="631"/>
      <c r="H416" s="631"/>
    </row>
    <row r="417" spans="1:8" x14ac:dyDescent="0.2">
      <c r="A417" s="631"/>
      <c r="B417" s="631"/>
      <c r="C417" s="631"/>
      <c r="D417" s="631"/>
      <c r="E417" s="631"/>
      <c r="F417" s="631"/>
      <c r="G417" s="631"/>
      <c r="H417" s="631"/>
    </row>
    <row r="418" spans="1:8" x14ac:dyDescent="0.2">
      <c r="A418" s="631"/>
      <c r="B418" s="631"/>
      <c r="C418" s="631"/>
      <c r="D418" s="631"/>
      <c r="E418" s="631"/>
      <c r="F418" s="631"/>
      <c r="G418" s="631"/>
      <c r="H418" s="631"/>
    </row>
    <row r="419" spans="1:8" x14ac:dyDescent="0.2">
      <c r="A419" s="631"/>
      <c r="B419" s="631"/>
      <c r="C419" s="631"/>
      <c r="D419" s="631"/>
      <c r="E419" s="631"/>
      <c r="F419" s="631"/>
      <c r="G419" s="631"/>
      <c r="H419" s="631"/>
    </row>
    <row r="420" spans="1:8" x14ac:dyDescent="0.2">
      <c r="A420" s="631"/>
      <c r="B420" s="631"/>
      <c r="C420" s="631"/>
      <c r="D420" s="631"/>
      <c r="E420" s="631"/>
      <c r="F420" s="631"/>
      <c r="G420" s="631"/>
      <c r="H420" s="631"/>
    </row>
    <row r="421" spans="1:8" x14ac:dyDescent="0.2">
      <c r="A421" s="631"/>
      <c r="B421" s="631"/>
      <c r="C421" s="631"/>
      <c r="D421" s="631"/>
      <c r="E421" s="631"/>
      <c r="F421" s="631"/>
      <c r="G421" s="631"/>
      <c r="H421" s="631"/>
    </row>
    <row r="422" spans="1:8" x14ac:dyDescent="0.2">
      <c r="A422" s="631"/>
      <c r="B422" s="631"/>
      <c r="C422" s="631"/>
      <c r="D422" s="631"/>
      <c r="E422" s="631"/>
      <c r="F422" s="631"/>
      <c r="G422" s="631"/>
      <c r="H422" s="631"/>
    </row>
    <row r="423" spans="1:8" x14ac:dyDescent="0.2">
      <c r="A423" s="631"/>
      <c r="B423" s="631"/>
      <c r="C423" s="631"/>
      <c r="D423" s="631"/>
      <c r="E423" s="631"/>
      <c r="F423" s="631"/>
      <c r="G423" s="631"/>
      <c r="H423" s="631"/>
    </row>
    <row r="424" spans="1:8" x14ac:dyDescent="0.2">
      <c r="A424" s="631"/>
      <c r="B424" s="631"/>
      <c r="C424" s="631"/>
      <c r="D424" s="631"/>
      <c r="E424" s="631"/>
      <c r="F424" s="631"/>
      <c r="G424" s="631"/>
      <c r="H424" s="631"/>
    </row>
    <row r="425" spans="1:8" x14ac:dyDescent="0.2">
      <c r="A425" s="631"/>
      <c r="B425" s="631"/>
      <c r="C425" s="631"/>
      <c r="D425" s="631"/>
      <c r="E425" s="631"/>
      <c r="F425" s="631"/>
      <c r="G425" s="631"/>
      <c r="H425" s="631"/>
    </row>
    <row r="426" spans="1:8" x14ac:dyDescent="0.2">
      <c r="A426" s="631"/>
      <c r="B426" s="631"/>
      <c r="C426" s="631"/>
      <c r="D426" s="631"/>
      <c r="E426" s="631"/>
      <c r="F426" s="631"/>
      <c r="G426" s="631"/>
      <c r="H426" s="631"/>
    </row>
    <row r="427" spans="1:8" x14ac:dyDescent="0.2">
      <c r="A427" s="631"/>
      <c r="B427" s="631"/>
      <c r="C427" s="631"/>
      <c r="D427" s="631"/>
      <c r="E427" s="631"/>
      <c r="F427" s="631"/>
      <c r="G427" s="631"/>
      <c r="H427" s="631"/>
    </row>
    <row r="428" spans="1:8" x14ac:dyDescent="0.2">
      <c r="A428" s="631"/>
      <c r="B428" s="631"/>
      <c r="C428" s="631"/>
      <c r="D428" s="631"/>
      <c r="E428" s="631"/>
      <c r="F428" s="631"/>
      <c r="G428" s="631"/>
      <c r="H428" s="631"/>
    </row>
    <row r="429" spans="1:8" x14ac:dyDescent="0.2">
      <c r="A429" s="631"/>
      <c r="B429" s="631"/>
      <c r="C429" s="631"/>
      <c r="D429" s="631"/>
      <c r="E429" s="631"/>
      <c r="F429" s="631"/>
      <c r="G429" s="631"/>
      <c r="H429" s="631"/>
    </row>
    <row r="430" spans="1:8" x14ac:dyDescent="0.2">
      <c r="A430" s="631"/>
      <c r="B430" s="631"/>
      <c r="C430" s="631"/>
      <c r="D430" s="631"/>
      <c r="E430" s="631"/>
      <c r="F430" s="631"/>
      <c r="G430" s="631"/>
      <c r="H430" s="631"/>
    </row>
    <row r="431" spans="1:8" x14ac:dyDescent="0.2">
      <c r="A431" s="631"/>
      <c r="B431" s="631"/>
      <c r="C431" s="631"/>
      <c r="D431" s="631"/>
      <c r="E431" s="631"/>
      <c r="F431" s="631"/>
      <c r="G431" s="631"/>
      <c r="H431" s="631"/>
    </row>
    <row r="432" spans="1:8" x14ac:dyDescent="0.2">
      <c r="A432" s="631"/>
      <c r="B432" s="631"/>
      <c r="C432" s="631"/>
      <c r="D432" s="631"/>
      <c r="E432" s="631"/>
      <c r="F432" s="631"/>
      <c r="G432" s="631"/>
      <c r="H432" s="631"/>
    </row>
    <row r="433" spans="1:8" x14ac:dyDescent="0.2">
      <c r="A433" s="631"/>
      <c r="B433" s="631"/>
      <c r="C433" s="631"/>
      <c r="D433" s="631"/>
      <c r="E433" s="631"/>
      <c r="F433" s="631"/>
      <c r="G433" s="631"/>
      <c r="H433" s="631"/>
    </row>
    <row r="434" spans="1:8" x14ac:dyDescent="0.2">
      <c r="A434" s="631"/>
      <c r="B434" s="631"/>
      <c r="C434" s="631"/>
      <c r="D434" s="631"/>
      <c r="E434" s="631"/>
      <c r="F434" s="631"/>
      <c r="G434" s="631"/>
      <c r="H434" s="631"/>
    </row>
    <row r="435" spans="1:8" x14ac:dyDescent="0.2">
      <c r="A435" s="631"/>
      <c r="B435" s="631"/>
      <c r="C435" s="631"/>
      <c r="D435" s="631"/>
      <c r="E435" s="631"/>
      <c r="F435" s="631"/>
      <c r="G435" s="631"/>
      <c r="H435" s="631"/>
    </row>
    <row r="436" spans="1:8" x14ac:dyDescent="0.2">
      <c r="A436" s="631"/>
      <c r="B436" s="631"/>
      <c r="C436" s="631"/>
      <c r="D436" s="631"/>
      <c r="E436" s="631"/>
      <c r="F436" s="631"/>
      <c r="G436" s="631"/>
      <c r="H436" s="631"/>
    </row>
    <row r="437" spans="1:8" x14ac:dyDescent="0.2">
      <c r="A437" s="631"/>
      <c r="B437" s="631"/>
      <c r="C437" s="631"/>
      <c r="D437" s="631"/>
      <c r="E437" s="631"/>
      <c r="F437" s="631"/>
      <c r="G437" s="631"/>
      <c r="H437" s="631"/>
    </row>
    <row r="438" spans="1:8" x14ac:dyDescent="0.2">
      <c r="A438" s="631"/>
      <c r="B438" s="631"/>
      <c r="C438" s="631"/>
      <c r="D438" s="631"/>
      <c r="E438" s="631"/>
      <c r="F438" s="631"/>
      <c r="G438" s="631"/>
      <c r="H438" s="631"/>
    </row>
    <row r="439" spans="1:8" x14ac:dyDescent="0.2">
      <c r="A439" s="631"/>
      <c r="B439" s="631"/>
      <c r="C439" s="631"/>
      <c r="D439" s="631"/>
      <c r="E439" s="631"/>
      <c r="F439" s="631"/>
      <c r="G439" s="631"/>
      <c r="H439" s="631"/>
    </row>
    <row r="440" spans="1:8" x14ac:dyDescent="0.2">
      <c r="A440" s="631"/>
      <c r="B440" s="631"/>
      <c r="C440" s="631"/>
      <c r="D440" s="631"/>
      <c r="E440" s="631"/>
      <c r="F440" s="631"/>
      <c r="G440" s="631"/>
      <c r="H440" s="631"/>
    </row>
    <row r="441" spans="1:8" x14ac:dyDescent="0.2">
      <c r="A441" s="631"/>
      <c r="B441" s="631"/>
      <c r="C441" s="631"/>
      <c r="D441" s="631"/>
      <c r="E441" s="631"/>
      <c r="F441" s="631"/>
      <c r="G441" s="631"/>
      <c r="H441" s="631"/>
    </row>
    <row r="442" spans="1:8" x14ac:dyDescent="0.2">
      <c r="A442" s="631"/>
      <c r="B442" s="631"/>
      <c r="C442" s="631"/>
      <c r="D442" s="631"/>
      <c r="E442" s="631"/>
      <c r="F442" s="631"/>
      <c r="G442" s="631"/>
      <c r="H442" s="631"/>
    </row>
    <row r="443" spans="1:8" x14ac:dyDescent="0.2">
      <c r="A443" s="631"/>
      <c r="B443" s="631"/>
      <c r="C443" s="631"/>
      <c r="D443" s="631"/>
      <c r="E443" s="631"/>
      <c r="F443" s="631"/>
      <c r="G443" s="631"/>
      <c r="H443" s="631"/>
    </row>
    <row r="444" spans="1:8" x14ac:dyDescent="0.2">
      <c r="A444" s="631"/>
      <c r="B444" s="631"/>
      <c r="C444" s="631"/>
      <c r="D444" s="631"/>
      <c r="E444" s="631"/>
      <c r="F444" s="631"/>
      <c r="G444" s="631"/>
      <c r="H444" s="631"/>
    </row>
    <row r="445" spans="1:8" x14ac:dyDescent="0.2">
      <c r="A445" s="631"/>
      <c r="B445" s="631"/>
      <c r="C445" s="631"/>
      <c r="D445" s="631"/>
      <c r="E445" s="631"/>
      <c r="F445" s="631"/>
      <c r="G445" s="631"/>
      <c r="H445" s="631"/>
    </row>
    <row r="446" spans="1:8" x14ac:dyDescent="0.2">
      <c r="A446" s="631"/>
      <c r="B446" s="631"/>
      <c r="C446" s="631"/>
      <c r="D446" s="631"/>
      <c r="E446" s="631"/>
      <c r="F446" s="631"/>
      <c r="G446" s="631"/>
      <c r="H446" s="631"/>
    </row>
    <row r="447" spans="1:8" x14ac:dyDescent="0.2">
      <c r="A447" s="631"/>
      <c r="B447" s="631"/>
      <c r="C447" s="631"/>
      <c r="D447" s="631"/>
      <c r="E447" s="631"/>
      <c r="F447" s="631"/>
      <c r="G447" s="631"/>
      <c r="H447" s="631"/>
    </row>
    <row r="448" spans="1:8" x14ac:dyDescent="0.2">
      <c r="A448" s="631"/>
      <c r="B448" s="631"/>
      <c r="C448" s="631"/>
      <c r="D448" s="631"/>
      <c r="E448" s="631"/>
      <c r="F448" s="631"/>
      <c r="G448" s="631"/>
      <c r="H448" s="631"/>
    </row>
    <row r="449" spans="1:8" x14ac:dyDescent="0.2">
      <c r="A449" s="631"/>
      <c r="B449" s="631"/>
      <c r="C449" s="631"/>
      <c r="D449" s="631"/>
      <c r="E449" s="631"/>
      <c r="F449" s="631"/>
      <c r="G449" s="631"/>
      <c r="H449" s="631"/>
    </row>
    <row r="450" spans="1:8" x14ac:dyDescent="0.2">
      <c r="A450" s="631"/>
      <c r="B450" s="631"/>
      <c r="C450" s="631"/>
      <c r="D450" s="631"/>
      <c r="E450" s="631"/>
      <c r="F450" s="631"/>
      <c r="G450" s="631"/>
      <c r="H450" s="631"/>
    </row>
    <row r="451" spans="1:8" x14ac:dyDescent="0.2">
      <c r="A451" s="631"/>
      <c r="B451" s="631"/>
      <c r="C451" s="631"/>
      <c r="D451" s="631"/>
      <c r="E451" s="631"/>
      <c r="F451" s="631"/>
      <c r="G451" s="631"/>
      <c r="H451" s="631"/>
    </row>
    <row r="452" spans="1:8" x14ac:dyDescent="0.2">
      <c r="A452" s="631"/>
      <c r="B452" s="631"/>
      <c r="C452" s="631"/>
      <c r="D452" s="631"/>
      <c r="E452" s="631"/>
      <c r="F452" s="631"/>
      <c r="G452" s="631"/>
      <c r="H452" s="631"/>
    </row>
    <row r="453" spans="1:8" x14ac:dyDescent="0.2">
      <c r="A453" s="631"/>
      <c r="B453" s="631"/>
      <c r="C453" s="631"/>
      <c r="D453" s="631"/>
      <c r="E453" s="631"/>
      <c r="F453" s="631"/>
      <c r="G453" s="631"/>
      <c r="H453" s="631"/>
    </row>
    <row r="454" spans="1:8" x14ac:dyDescent="0.2">
      <c r="A454" s="631"/>
      <c r="B454" s="631"/>
      <c r="C454" s="631"/>
      <c r="D454" s="631"/>
      <c r="E454" s="631"/>
      <c r="F454" s="631"/>
      <c r="G454" s="631"/>
      <c r="H454" s="631"/>
    </row>
    <row r="455" spans="1:8" x14ac:dyDescent="0.2">
      <c r="A455" s="631"/>
      <c r="B455" s="631"/>
      <c r="C455" s="631"/>
      <c r="D455" s="631"/>
      <c r="E455" s="631"/>
      <c r="F455" s="631"/>
      <c r="G455" s="631"/>
      <c r="H455" s="631"/>
    </row>
    <row r="456" spans="1:8" x14ac:dyDescent="0.2">
      <c r="A456" s="631"/>
      <c r="B456" s="631"/>
      <c r="C456" s="631"/>
      <c r="D456" s="631"/>
      <c r="E456" s="631"/>
      <c r="F456" s="631"/>
      <c r="G456" s="631"/>
      <c r="H456" s="631"/>
    </row>
    <row r="457" spans="1:8" x14ac:dyDescent="0.2">
      <c r="A457" s="631"/>
      <c r="B457" s="631"/>
      <c r="C457" s="631"/>
      <c r="D457" s="631"/>
      <c r="E457" s="631"/>
      <c r="F457" s="631"/>
      <c r="G457" s="631"/>
      <c r="H457" s="631"/>
    </row>
    <row r="458" spans="1:8" x14ac:dyDescent="0.2">
      <c r="A458" s="631"/>
      <c r="B458" s="631"/>
      <c r="C458" s="631"/>
      <c r="D458" s="631"/>
      <c r="E458" s="631"/>
      <c r="F458" s="631"/>
      <c r="G458" s="631"/>
      <c r="H458" s="631"/>
    </row>
    <row r="459" spans="1:8" x14ac:dyDescent="0.2">
      <c r="A459" s="631"/>
      <c r="B459" s="631"/>
      <c r="C459" s="631"/>
      <c r="D459" s="631"/>
      <c r="E459" s="631"/>
      <c r="F459" s="631"/>
      <c r="G459" s="631"/>
      <c r="H459" s="631"/>
    </row>
    <row r="460" spans="1:8" x14ac:dyDescent="0.2">
      <c r="A460" s="631"/>
      <c r="B460" s="631"/>
      <c r="C460" s="631"/>
      <c r="D460" s="631"/>
      <c r="E460" s="631"/>
      <c r="F460" s="631"/>
      <c r="G460" s="631"/>
      <c r="H460" s="631"/>
    </row>
    <row r="461" spans="1:8" x14ac:dyDescent="0.2">
      <c r="A461" s="631"/>
      <c r="B461" s="631"/>
      <c r="C461" s="631"/>
      <c r="D461" s="631"/>
      <c r="E461" s="631"/>
      <c r="F461" s="631"/>
      <c r="G461" s="631"/>
      <c r="H461" s="631"/>
    </row>
    <row r="462" spans="1:8" x14ac:dyDescent="0.2">
      <c r="A462" s="631"/>
      <c r="B462" s="631"/>
      <c r="C462" s="631"/>
      <c r="D462" s="631"/>
      <c r="E462" s="631"/>
      <c r="F462" s="631"/>
      <c r="G462" s="631"/>
      <c r="H462" s="631"/>
    </row>
    <row r="463" spans="1:8" x14ac:dyDescent="0.2">
      <c r="A463" s="631"/>
      <c r="B463" s="631"/>
      <c r="C463" s="631"/>
      <c r="D463" s="631"/>
      <c r="E463" s="631"/>
      <c r="F463" s="631"/>
      <c r="G463" s="631"/>
      <c r="H463" s="631"/>
    </row>
    <row r="464" spans="1:8" x14ac:dyDescent="0.2">
      <c r="A464" s="631"/>
      <c r="B464" s="631"/>
      <c r="C464" s="631"/>
      <c r="D464" s="631"/>
      <c r="E464" s="631"/>
      <c r="F464" s="631"/>
      <c r="G464" s="631"/>
      <c r="H464" s="631"/>
    </row>
    <row r="465" spans="1:8" x14ac:dyDescent="0.2">
      <c r="A465" s="631"/>
      <c r="B465" s="631"/>
      <c r="C465" s="631"/>
      <c r="D465" s="631"/>
      <c r="E465" s="631"/>
      <c r="F465" s="631"/>
      <c r="G465" s="631"/>
      <c r="H465" s="631"/>
    </row>
    <row r="466" spans="1:8" x14ac:dyDescent="0.2">
      <c r="A466" s="631"/>
      <c r="B466" s="631"/>
      <c r="C466" s="631"/>
      <c r="D466" s="631"/>
      <c r="E466" s="631"/>
      <c r="F466" s="631"/>
      <c r="G466" s="631"/>
      <c r="H466" s="631"/>
    </row>
    <row r="467" spans="1:8" x14ac:dyDescent="0.2">
      <c r="A467" s="631"/>
      <c r="B467" s="631"/>
      <c r="C467" s="631"/>
      <c r="D467" s="631"/>
      <c r="E467" s="631"/>
      <c r="F467" s="631"/>
      <c r="G467" s="631"/>
      <c r="H467" s="631"/>
    </row>
    <row r="468" spans="1:8" x14ac:dyDescent="0.2">
      <c r="A468" s="631"/>
      <c r="B468" s="631"/>
      <c r="C468" s="631"/>
      <c r="D468" s="631"/>
      <c r="E468" s="631"/>
      <c r="F468" s="631"/>
      <c r="G468" s="631"/>
      <c r="H468" s="631"/>
    </row>
    <row r="469" spans="1:8" x14ac:dyDescent="0.2">
      <c r="A469" s="631"/>
      <c r="B469" s="631"/>
      <c r="C469" s="631"/>
      <c r="D469" s="631"/>
      <c r="E469" s="631"/>
      <c r="F469" s="631"/>
      <c r="G469" s="631"/>
      <c r="H469" s="631"/>
    </row>
    <row r="470" spans="1:8" x14ac:dyDescent="0.2">
      <c r="A470" s="631"/>
      <c r="B470" s="631"/>
      <c r="C470" s="631"/>
      <c r="D470" s="631"/>
      <c r="E470" s="631"/>
      <c r="F470" s="631"/>
      <c r="G470" s="631"/>
      <c r="H470" s="631"/>
    </row>
    <row r="471" spans="1:8" x14ac:dyDescent="0.2">
      <c r="A471" s="631"/>
      <c r="B471" s="631"/>
      <c r="C471" s="631"/>
      <c r="D471" s="631"/>
      <c r="E471" s="631"/>
      <c r="F471" s="631"/>
      <c r="G471" s="631"/>
      <c r="H471" s="631"/>
    </row>
    <row r="472" spans="1:8" x14ac:dyDescent="0.2">
      <c r="A472" s="631"/>
      <c r="B472" s="631"/>
      <c r="C472" s="631"/>
      <c r="D472" s="631"/>
      <c r="E472" s="631"/>
      <c r="F472" s="631"/>
      <c r="G472" s="631"/>
      <c r="H472" s="631"/>
    </row>
    <row r="473" spans="1:8" x14ac:dyDescent="0.2">
      <c r="A473" s="631"/>
      <c r="B473" s="631"/>
      <c r="C473" s="631"/>
      <c r="D473" s="631"/>
      <c r="E473" s="631"/>
      <c r="F473" s="631"/>
      <c r="G473" s="631"/>
      <c r="H473" s="631"/>
    </row>
    <row r="474" spans="1:8" x14ac:dyDescent="0.2">
      <c r="A474" s="631"/>
      <c r="B474" s="631"/>
      <c r="C474" s="631"/>
      <c r="D474" s="631"/>
      <c r="E474" s="631"/>
      <c r="F474" s="631"/>
      <c r="G474" s="631"/>
      <c r="H474" s="631"/>
    </row>
    <row r="475" spans="1:8" x14ac:dyDescent="0.2">
      <c r="A475" s="631"/>
      <c r="B475" s="631"/>
      <c r="C475" s="631"/>
      <c r="D475" s="631"/>
      <c r="E475" s="631"/>
      <c r="F475" s="631"/>
      <c r="G475" s="631"/>
      <c r="H475" s="631"/>
    </row>
    <row r="476" spans="1:8" x14ac:dyDescent="0.2">
      <c r="A476" s="631"/>
      <c r="B476" s="631"/>
      <c r="C476" s="631"/>
      <c r="D476" s="631"/>
      <c r="E476" s="631"/>
      <c r="F476" s="631"/>
      <c r="G476" s="631"/>
      <c r="H476" s="631"/>
    </row>
    <row r="477" spans="1:8" x14ac:dyDescent="0.2">
      <c r="A477" s="631"/>
      <c r="B477" s="631"/>
      <c r="C477" s="631"/>
      <c r="D477" s="631"/>
      <c r="E477" s="631"/>
      <c r="F477" s="631"/>
      <c r="G477" s="631"/>
      <c r="H477" s="631"/>
    </row>
    <row r="478" spans="1:8" x14ac:dyDescent="0.2">
      <c r="A478" s="631"/>
      <c r="B478" s="631"/>
      <c r="C478" s="631"/>
      <c r="D478" s="631"/>
      <c r="E478" s="631"/>
      <c r="F478" s="631"/>
      <c r="G478" s="631"/>
      <c r="H478" s="631"/>
    </row>
    <row r="479" spans="1:8" x14ac:dyDescent="0.2">
      <c r="A479" s="631"/>
      <c r="B479" s="631"/>
      <c r="C479" s="631"/>
      <c r="D479" s="631"/>
      <c r="E479" s="631"/>
      <c r="F479" s="631"/>
      <c r="G479" s="631"/>
      <c r="H479" s="631"/>
    </row>
    <row r="480" spans="1:8" x14ac:dyDescent="0.2">
      <c r="A480" s="631"/>
      <c r="B480" s="631"/>
      <c r="C480" s="631"/>
      <c r="D480" s="631"/>
      <c r="E480" s="631"/>
      <c r="F480" s="631"/>
      <c r="G480" s="631"/>
      <c r="H480" s="631"/>
    </row>
    <row r="481" spans="1:8" x14ac:dyDescent="0.2">
      <c r="A481" s="631"/>
      <c r="B481" s="631"/>
      <c r="C481" s="631"/>
      <c r="D481" s="631"/>
      <c r="E481" s="631"/>
      <c r="F481" s="631"/>
      <c r="G481" s="631"/>
      <c r="H481" s="631"/>
    </row>
    <row r="482" spans="1:8" x14ac:dyDescent="0.2">
      <c r="A482" s="631"/>
      <c r="B482" s="631"/>
      <c r="C482" s="631"/>
      <c r="D482" s="631"/>
      <c r="E482" s="631"/>
      <c r="F482" s="631"/>
      <c r="G482" s="631"/>
      <c r="H482" s="631"/>
    </row>
    <row r="483" spans="1:8" x14ac:dyDescent="0.2">
      <c r="A483" s="631"/>
      <c r="B483" s="631"/>
      <c r="C483" s="631"/>
      <c r="D483" s="631"/>
      <c r="E483" s="631"/>
      <c r="F483" s="631"/>
      <c r="G483" s="631"/>
      <c r="H483" s="631"/>
    </row>
    <row r="484" spans="1:8" x14ac:dyDescent="0.2">
      <c r="A484" s="631"/>
      <c r="B484" s="631"/>
      <c r="C484" s="631"/>
      <c r="D484" s="631"/>
      <c r="E484" s="631"/>
      <c r="F484" s="631"/>
      <c r="G484" s="631"/>
      <c r="H484" s="631"/>
    </row>
    <row r="485" spans="1:8" x14ac:dyDescent="0.2">
      <c r="A485" s="631"/>
      <c r="B485" s="631"/>
      <c r="C485" s="631"/>
      <c r="D485" s="631"/>
      <c r="E485" s="631"/>
      <c r="F485" s="631"/>
      <c r="G485" s="631"/>
      <c r="H485" s="631"/>
    </row>
    <row r="486" spans="1:8" x14ac:dyDescent="0.2">
      <c r="A486" s="631"/>
      <c r="B486" s="631"/>
      <c r="C486" s="631"/>
      <c r="D486" s="631"/>
      <c r="E486" s="631"/>
      <c r="F486" s="631"/>
      <c r="G486" s="631"/>
      <c r="H486" s="631"/>
    </row>
    <row r="487" spans="1:8" x14ac:dyDescent="0.2">
      <c r="A487" s="631"/>
      <c r="B487" s="631"/>
      <c r="C487" s="631"/>
      <c r="D487" s="631"/>
      <c r="E487" s="631"/>
      <c r="F487" s="631"/>
      <c r="G487" s="631"/>
      <c r="H487" s="631"/>
    </row>
    <row r="488" spans="1:8" x14ac:dyDescent="0.2">
      <c r="A488" s="631"/>
      <c r="B488" s="631"/>
      <c r="C488" s="631"/>
      <c r="D488" s="631"/>
      <c r="E488" s="631"/>
      <c r="F488" s="631"/>
      <c r="G488" s="631"/>
      <c r="H488" s="631"/>
    </row>
    <row r="489" spans="1:8" x14ac:dyDescent="0.2">
      <c r="A489" s="631"/>
      <c r="B489" s="631"/>
      <c r="C489" s="631"/>
      <c r="D489" s="631"/>
      <c r="E489" s="631"/>
      <c r="F489" s="631"/>
      <c r="G489" s="631"/>
      <c r="H489" s="631"/>
    </row>
    <row r="490" spans="1:8" x14ac:dyDescent="0.2">
      <c r="A490" s="631"/>
      <c r="B490" s="631"/>
      <c r="C490" s="631"/>
      <c r="D490" s="631"/>
      <c r="E490" s="631"/>
      <c r="F490" s="631"/>
      <c r="G490" s="631"/>
      <c r="H490" s="631"/>
    </row>
    <row r="491" spans="1:8" x14ac:dyDescent="0.2">
      <c r="A491" s="631"/>
      <c r="B491" s="631"/>
      <c r="C491" s="631"/>
      <c r="D491" s="631"/>
      <c r="E491" s="631"/>
      <c r="F491" s="631"/>
      <c r="G491" s="631"/>
      <c r="H491" s="631"/>
    </row>
    <row r="492" spans="1:8" x14ac:dyDescent="0.2">
      <c r="A492" s="631"/>
      <c r="B492" s="631"/>
      <c r="C492" s="631"/>
      <c r="D492" s="631"/>
      <c r="E492" s="631"/>
      <c r="F492" s="631"/>
      <c r="G492" s="631"/>
      <c r="H492" s="631"/>
    </row>
    <row r="493" spans="1:8" x14ac:dyDescent="0.2">
      <c r="A493" s="631"/>
      <c r="B493" s="631"/>
      <c r="C493" s="631"/>
      <c r="D493" s="631"/>
      <c r="E493" s="631"/>
      <c r="F493" s="631"/>
      <c r="G493" s="631"/>
      <c r="H493" s="631"/>
    </row>
    <row r="494" spans="1:8" x14ac:dyDescent="0.2">
      <c r="A494" s="631"/>
      <c r="B494" s="631"/>
      <c r="C494" s="631"/>
      <c r="D494" s="631"/>
      <c r="E494" s="631"/>
      <c r="F494" s="631"/>
      <c r="G494" s="631"/>
      <c r="H494" s="631"/>
    </row>
    <row r="495" spans="1:8" x14ac:dyDescent="0.2">
      <c r="A495" s="631"/>
      <c r="B495" s="631"/>
      <c r="C495" s="631"/>
      <c r="D495" s="631"/>
      <c r="E495" s="631"/>
      <c r="F495" s="631"/>
      <c r="G495" s="631"/>
      <c r="H495" s="631"/>
    </row>
    <row r="496" spans="1:8" x14ac:dyDescent="0.2">
      <c r="A496" s="631"/>
      <c r="B496" s="631"/>
      <c r="C496" s="631"/>
      <c r="D496" s="631"/>
      <c r="E496" s="631"/>
      <c r="F496" s="631"/>
      <c r="G496" s="631"/>
      <c r="H496" s="631"/>
    </row>
    <row r="497" spans="1:8" x14ac:dyDescent="0.2">
      <c r="A497" s="631"/>
      <c r="B497" s="631"/>
      <c r="C497" s="631"/>
      <c r="D497" s="631"/>
      <c r="E497" s="631"/>
      <c r="F497" s="631"/>
      <c r="G497" s="631"/>
      <c r="H497" s="631"/>
    </row>
    <row r="498" spans="1:8" x14ac:dyDescent="0.2">
      <c r="A498" s="631"/>
      <c r="B498" s="631"/>
      <c r="C498" s="631"/>
      <c r="D498" s="631"/>
      <c r="E498" s="631"/>
      <c r="F498" s="631"/>
      <c r="G498" s="631"/>
      <c r="H498" s="631"/>
    </row>
    <row r="499" spans="1:8" x14ac:dyDescent="0.2">
      <c r="A499" s="631"/>
      <c r="B499" s="631"/>
      <c r="C499" s="631"/>
      <c r="D499" s="631"/>
      <c r="E499" s="631"/>
      <c r="F499" s="631"/>
      <c r="G499" s="631"/>
      <c r="H499" s="631"/>
    </row>
    <row r="500" spans="1:8" x14ac:dyDescent="0.2">
      <c r="A500" s="631"/>
      <c r="B500" s="631"/>
      <c r="C500" s="631"/>
      <c r="D500" s="631"/>
      <c r="E500" s="631"/>
      <c r="F500" s="631"/>
      <c r="G500" s="631"/>
      <c r="H500" s="631"/>
    </row>
    <row r="501" spans="1:8" x14ac:dyDescent="0.2">
      <c r="A501" s="631"/>
      <c r="B501" s="631"/>
      <c r="C501" s="631"/>
      <c r="D501" s="631"/>
      <c r="E501" s="631"/>
      <c r="F501" s="631"/>
      <c r="G501" s="631"/>
      <c r="H501" s="631"/>
    </row>
    <row r="502" spans="1:8" x14ac:dyDescent="0.2">
      <c r="A502" s="631"/>
      <c r="B502" s="631"/>
      <c r="C502" s="631"/>
      <c r="D502" s="631"/>
      <c r="E502" s="631"/>
      <c r="F502" s="631"/>
      <c r="G502" s="631"/>
      <c r="H502" s="631"/>
    </row>
    <row r="503" spans="1:8" x14ac:dyDescent="0.2">
      <c r="A503" s="631"/>
      <c r="B503" s="631"/>
      <c r="C503" s="631"/>
      <c r="D503" s="631"/>
      <c r="E503" s="631"/>
      <c r="F503" s="631"/>
      <c r="G503" s="631"/>
      <c r="H503" s="631"/>
    </row>
    <row r="504" spans="1:8" x14ac:dyDescent="0.2">
      <c r="A504" s="631"/>
      <c r="B504" s="631"/>
      <c r="C504" s="631"/>
      <c r="D504" s="631"/>
      <c r="E504" s="631"/>
      <c r="F504" s="631"/>
      <c r="G504" s="631"/>
      <c r="H504" s="631"/>
    </row>
    <row r="505" spans="1:8" x14ac:dyDescent="0.2">
      <c r="A505" s="631"/>
      <c r="B505" s="631"/>
      <c r="C505" s="631"/>
      <c r="D505" s="631"/>
      <c r="E505" s="631"/>
      <c r="F505" s="631"/>
      <c r="G505" s="631"/>
      <c r="H505" s="631"/>
    </row>
    <row r="506" spans="1:8" x14ac:dyDescent="0.2">
      <c r="A506" s="631"/>
      <c r="B506" s="631"/>
      <c r="C506" s="631"/>
      <c r="D506" s="631"/>
      <c r="E506" s="631"/>
      <c r="F506" s="631"/>
      <c r="G506" s="631"/>
      <c r="H506" s="631"/>
    </row>
    <row r="507" spans="1:8" x14ac:dyDescent="0.2">
      <c r="A507" s="631"/>
      <c r="B507" s="631"/>
      <c r="C507" s="631"/>
      <c r="D507" s="631"/>
      <c r="E507" s="631"/>
      <c r="F507" s="631"/>
      <c r="G507" s="631"/>
      <c r="H507" s="631"/>
    </row>
    <row r="508" spans="1:8" x14ac:dyDescent="0.2">
      <c r="A508" s="631"/>
      <c r="B508" s="631"/>
      <c r="C508" s="631"/>
      <c r="D508" s="631"/>
      <c r="E508" s="631"/>
      <c r="F508" s="631"/>
      <c r="G508" s="631"/>
      <c r="H508" s="631"/>
    </row>
    <row r="509" spans="1:8" x14ac:dyDescent="0.2">
      <c r="A509" s="631"/>
      <c r="B509" s="631"/>
      <c r="C509" s="631"/>
      <c r="D509" s="631"/>
      <c r="E509" s="631"/>
      <c r="F509" s="631"/>
      <c r="G509" s="631"/>
      <c r="H509" s="631"/>
    </row>
    <row r="510" spans="1:8" x14ac:dyDescent="0.2">
      <c r="A510" s="631"/>
      <c r="B510" s="631"/>
      <c r="C510" s="631"/>
      <c r="D510" s="631"/>
      <c r="E510" s="631"/>
      <c r="F510" s="631"/>
      <c r="G510" s="631"/>
      <c r="H510" s="631"/>
    </row>
    <row r="511" spans="1:8" x14ac:dyDescent="0.2">
      <c r="A511" s="631"/>
      <c r="B511" s="631"/>
      <c r="C511" s="631"/>
      <c r="D511" s="631"/>
      <c r="E511" s="631"/>
      <c r="F511" s="631"/>
      <c r="G511" s="631"/>
      <c r="H511" s="631"/>
    </row>
    <row r="512" spans="1:8" x14ac:dyDescent="0.2">
      <c r="A512" s="631"/>
      <c r="B512" s="631"/>
      <c r="C512" s="631"/>
      <c r="D512" s="631"/>
      <c r="E512" s="631"/>
      <c r="F512" s="631"/>
      <c r="G512" s="631"/>
      <c r="H512" s="631"/>
    </row>
    <row r="513" spans="1:8" x14ac:dyDescent="0.2">
      <c r="A513" s="631"/>
      <c r="B513" s="631"/>
      <c r="C513" s="631"/>
      <c r="D513" s="631"/>
      <c r="E513" s="631"/>
      <c r="F513" s="631"/>
      <c r="G513" s="631"/>
      <c r="H513" s="631"/>
    </row>
    <row r="514" spans="1:8" x14ac:dyDescent="0.2">
      <c r="A514" s="631"/>
      <c r="B514" s="631"/>
      <c r="C514" s="631"/>
      <c r="D514" s="631"/>
      <c r="E514" s="631"/>
      <c r="F514" s="631"/>
      <c r="G514" s="631"/>
      <c r="H514" s="631"/>
    </row>
    <row r="515" spans="1:8" x14ac:dyDescent="0.2">
      <c r="A515" s="631"/>
      <c r="B515" s="631"/>
      <c r="C515" s="631"/>
      <c r="D515" s="631"/>
      <c r="E515" s="631"/>
      <c r="F515" s="631"/>
      <c r="G515" s="631"/>
      <c r="H515" s="631"/>
    </row>
    <row r="516" spans="1:8" x14ac:dyDescent="0.2">
      <c r="A516" s="631"/>
      <c r="B516" s="631"/>
      <c r="C516" s="631"/>
      <c r="D516" s="631"/>
      <c r="E516" s="631"/>
      <c r="F516" s="631"/>
      <c r="G516" s="631"/>
      <c r="H516" s="631"/>
    </row>
    <row r="517" spans="1:8" x14ac:dyDescent="0.2">
      <c r="A517" s="631"/>
      <c r="B517" s="631"/>
      <c r="C517" s="631"/>
      <c r="D517" s="631"/>
      <c r="E517" s="631"/>
      <c r="F517" s="631"/>
      <c r="G517" s="631"/>
      <c r="H517" s="631"/>
    </row>
    <row r="518" spans="1:8" x14ac:dyDescent="0.2">
      <c r="A518" s="631"/>
      <c r="B518" s="631"/>
      <c r="C518" s="631"/>
      <c r="D518" s="631"/>
      <c r="E518" s="631"/>
      <c r="F518" s="631"/>
      <c r="G518" s="631"/>
      <c r="H518" s="631"/>
    </row>
    <row r="519" spans="1:8" x14ac:dyDescent="0.2">
      <c r="A519" s="631"/>
      <c r="B519" s="631"/>
      <c r="C519" s="631"/>
      <c r="D519" s="631"/>
      <c r="E519" s="631"/>
      <c r="F519" s="631"/>
      <c r="G519" s="631"/>
      <c r="H519" s="631"/>
    </row>
    <row r="520" spans="1:8" x14ac:dyDescent="0.2">
      <c r="A520" s="631"/>
      <c r="B520" s="631"/>
      <c r="C520" s="631"/>
      <c r="D520" s="631"/>
      <c r="E520" s="631"/>
      <c r="F520" s="631"/>
      <c r="G520" s="631"/>
      <c r="H520" s="631"/>
    </row>
    <row r="521" spans="1:8" x14ac:dyDescent="0.2">
      <c r="A521" s="631"/>
      <c r="B521" s="631"/>
      <c r="C521" s="631"/>
      <c r="D521" s="631"/>
      <c r="E521" s="631"/>
      <c r="F521" s="631"/>
      <c r="G521" s="631"/>
      <c r="H521" s="631"/>
    </row>
    <row r="522" spans="1:8" x14ac:dyDescent="0.2">
      <c r="A522" s="631"/>
      <c r="B522" s="631"/>
      <c r="C522" s="631"/>
      <c r="D522" s="631"/>
      <c r="E522" s="631"/>
      <c r="F522" s="631"/>
      <c r="G522" s="631"/>
      <c r="H522" s="631"/>
    </row>
    <row r="523" spans="1:8" x14ac:dyDescent="0.2">
      <c r="A523" s="631"/>
      <c r="B523" s="631"/>
      <c r="C523" s="631"/>
      <c r="D523" s="631"/>
      <c r="E523" s="631"/>
      <c r="F523" s="631"/>
      <c r="G523" s="631"/>
      <c r="H523" s="631"/>
    </row>
    <row r="524" spans="1:8" x14ac:dyDescent="0.2">
      <c r="A524" s="631"/>
      <c r="B524" s="631"/>
      <c r="C524" s="631"/>
      <c r="D524" s="631"/>
      <c r="E524" s="631"/>
      <c r="F524" s="631"/>
      <c r="G524" s="631"/>
      <c r="H524" s="631"/>
    </row>
    <row r="525" spans="1:8" x14ac:dyDescent="0.2">
      <c r="A525" s="631"/>
      <c r="B525" s="631"/>
      <c r="C525" s="631"/>
      <c r="D525" s="631"/>
      <c r="E525" s="631"/>
      <c r="F525" s="631"/>
      <c r="G525" s="631"/>
      <c r="H525" s="631"/>
    </row>
    <row r="526" spans="1:8" x14ac:dyDescent="0.2">
      <c r="A526" s="631"/>
      <c r="B526" s="631"/>
      <c r="C526" s="631"/>
      <c r="D526" s="631"/>
      <c r="E526" s="631"/>
      <c r="F526" s="631"/>
      <c r="G526" s="631"/>
      <c r="H526" s="631"/>
    </row>
    <row r="527" spans="1:8" x14ac:dyDescent="0.2">
      <c r="A527" s="631"/>
      <c r="B527" s="631"/>
      <c r="C527" s="631"/>
      <c r="D527" s="631"/>
      <c r="E527" s="631"/>
      <c r="F527" s="631"/>
      <c r="G527" s="631"/>
      <c r="H527" s="631"/>
    </row>
    <row r="528" spans="1:8" x14ac:dyDescent="0.2">
      <c r="A528" s="631"/>
      <c r="B528" s="631"/>
      <c r="C528" s="631"/>
      <c r="D528" s="631"/>
      <c r="E528" s="631"/>
      <c r="F528" s="631"/>
      <c r="G528" s="631"/>
      <c r="H528" s="631"/>
    </row>
    <row r="529" spans="1:8" x14ac:dyDescent="0.2">
      <c r="A529" s="631"/>
      <c r="B529" s="631"/>
      <c r="C529" s="631"/>
      <c r="D529" s="631"/>
      <c r="E529" s="631"/>
      <c r="F529" s="631"/>
      <c r="G529" s="631"/>
      <c r="H529" s="631"/>
    </row>
    <row r="530" spans="1:8" x14ac:dyDescent="0.2">
      <c r="A530" s="631"/>
      <c r="B530" s="631"/>
      <c r="C530" s="631"/>
      <c r="D530" s="631"/>
      <c r="E530" s="631"/>
      <c r="F530" s="631"/>
      <c r="G530" s="631"/>
      <c r="H530" s="631"/>
    </row>
    <row r="531" spans="1:8" x14ac:dyDescent="0.2">
      <c r="A531" s="631"/>
      <c r="B531" s="631"/>
      <c r="C531" s="631"/>
      <c r="D531" s="631"/>
      <c r="E531" s="631"/>
      <c r="F531" s="631"/>
      <c r="G531" s="631"/>
      <c r="H531" s="631"/>
    </row>
    <row r="532" spans="1:8" x14ac:dyDescent="0.2">
      <c r="A532" s="631"/>
      <c r="B532" s="631"/>
      <c r="C532" s="631"/>
      <c r="D532" s="631"/>
      <c r="E532" s="631"/>
      <c r="F532" s="631"/>
      <c r="G532" s="631"/>
      <c r="H532" s="631"/>
    </row>
    <row r="533" spans="1:8" x14ac:dyDescent="0.2">
      <c r="A533" s="631"/>
      <c r="B533" s="631"/>
      <c r="C533" s="631"/>
      <c r="D533" s="631"/>
      <c r="E533" s="631"/>
      <c r="F533" s="631"/>
      <c r="G533" s="631"/>
      <c r="H533" s="631"/>
    </row>
    <row r="534" spans="1:8" x14ac:dyDescent="0.2">
      <c r="A534" s="631"/>
      <c r="B534" s="631"/>
      <c r="C534" s="631"/>
      <c r="D534" s="631"/>
      <c r="E534" s="631"/>
      <c r="F534" s="631"/>
      <c r="G534" s="631"/>
      <c r="H534" s="631"/>
    </row>
    <row r="535" spans="1:8" x14ac:dyDescent="0.2">
      <c r="A535" s="631"/>
      <c r="B535" s="631"/>
      <c r="C535" s="631"/>
      <c r="D535" s="631"/>
      <c r="E535" s="631"/>
      <c r="F535" s="631"/>
      <c r="G535" s="631"/>
      <c r="H535" s="631"/>
    </row>
    <row r="536" spans="1:8" x14ac:dyDescent="0.2">
      <c r="A536" s="631"/>
      <c r="B536" s="631"/>
      <c r="C536" s="631"/>
      <c r="D536" s="631"/>
      <c r="E536" s="631"/>
      <c r="F536" s="631"/>
      <c r="G536" s="631"/>
      <c r="H536" s="631"/>
    </row>
    <row r="537" spans="1:8" x14ac:dyDescent="0.2">
      <c r="A537" s="631"/>
      <c r="B537" s="631"/>
      <c r="C537" s="631"/>
      <c r="D537" s="631"/>
      <c r="E537" s="631"/>
      <c r="F537" s="631"/>
      <c r="G537" s="631"/>
      <c r="H537" s="631"/>
    </row>
    <row r="538" spans="1:8" x14ac:dyDescent="0.2">
      <c r="A538" s="631"/>
      <c r="B538" s="631"/>
      <c r="C538" s="631"/>
      <c r="D538" s="631"/>
      <c r="E538" s="631"/>
      <c r="F538" s="631"/>
      <c r="G538" s="631"/>
      <c r="H538" s="631"/>
    </row>
    <row r="539" spans="1:8" x14ac:dyDescent="0.2">
      <c r="A539" s="631"/>
      <c r="B539" s="631"/>
      <c r="C539" s="631"/>
      <c r="D539" s="631"/>
      <c r="E539" s="631"/>
      <c r="F539" s="631"/>
      <c r="G539" s="631"/>
      <c r="H539" s="631"/>
    </row>
    <row r="540" spans="1:8" x14ac:dyDescent="0.2">
      <c r="A540" s="631"/>
      <c r="B540" s="631"/>
      <c r="C540" s="631"/>
      <c r="D540" s="631"/>
      <c r="E540" s="631"/>
      <c r="F540" s="631"/>
      <c r="G540" s="631"/>
      <c r="H540" s="631"/>
    </row>
    <row r="541" spans="1:8" x14ac:dyDescent="0.2">
      <c r="A541" s="631"/>
      <c r="B541" s="631"/>
      <c r="C541" s="631"/>
      <c r="D541" s="631"/>
      <c r="E541" s="631"/>
      <c r="F541" s="631"/>
      <c r="G541" s="631"/>
      <c r="H541" s="631"/>
    </row>
    <row r="542" spans="1:8" x14ac:dyDescent="0.2">
      <c r="A542" s="631"/>
      <c r="B542" s="631"/>
      <c r="C542" s="631"/>
      <c r="D542" s="631"/>
      <c r="E542" s="631"/>
      <c r="F542" s="631"/>
      <c r="G542" s="631"/>
      <c r="H542" s="631"/>
    </row>
    <row r="543" spans="1:8" x14ac:dyDescent="0.2">
      <c r="A543" s="631"/>
      <c r="B543" s="631"/>
      <c r="C543" s="631"/>
      <c r="D543" s="631"/>
      <c r="E543" s="631"/>
      <c r="F543" s="631"/>
      <c r="G543" s="631"/>
      <c r="H543" s="631"/>
    </row>
    <row r="544" spans="1:8" x14ac:dyDescent="0.2">
      <c r="A544" s="631"/>
      <c r="B544" s="631"/>
      <c r="C544" s="631"/>
      <c r="D544" s="631"/>
      <c r="E544" s="631"/>
      <c r="F544" s="631"/>
      <c r="G544" s="631"/>
      <c r="H544" s="631"/>
    </row>
    <row r="545" spans="1:8" x14ac:dyDescent="0.2">
      <c r="A545" s="631"/>
      <c r="B545" s="631"/>
      <c r="C545" s="631"/>
      <c r="D545" s="631"/>
      <c r="E545" s="631"/>
      <c r="F545" s="631"/>
      <c r="G545" s="631"/>
      <c r="H545" s="631"/>
    </row>
    <row r="546" spans="1:8" x14ac:dyDescent="0.2">
      <c r="A546" s="631"/>
      <c r="B546" s="631"/>
      <c r="C546" s="631"/>
      <c r="D546" s="631"/>
      <c r="E546" s="631"/>
      <c r="F546" s="631"/>
      <c r="G546" s="631"/>
      <c r="H546" s="631"/>
    </row>
    <row r="547" spans="1:8" x14ac:dyDescent="0.2">
      <c r="A547" s="631"/>
      <c r="B547" s="631"/>
      <c r="C547" s="631"/>
      <c r="D547" s="631"/>
      <c r="E547" s="631"/>
      <c r="F547" s="631"/>
      <c r="G547" s="631"/>
      <c r="H547" s="631"/>
    </row>
    <row r="548" spans="1:8" x14ac:dyDescent="0.2">
      <c r="A548" s="631"/>
      <c r="B548" s="631"/>
      <c r="C548" s="631"/>
      <c r="D548" s="631"/>
      <c r="E548" s="631"/>
      <c r="F548" s="631"/>
      <c r="G548" s="631"/>
      <c r="H548" s="631"/>
    </row>
    <row r="549" spans="1:8" x14ac:dyDescent="0.2">
      <c r="A549" s="631"/>
      <c r="B549" s="631"/>
      <c r="C549" s="631"/>
      <c r="D549" s="631"/>
      <c r="E549" s="631"/>
      <c r="F549" s="631"/>
      <c r="G549" s="631"/>
      <c r="H549" s="631"/>
    </row>
    <row r="550" spans="1:8" x14ac:dyDescent="0.2">
      <c r="A550" s="631"/>
      <c r="B550" s="631"/>
      <c r="C550" s="631"/>
      <c r="D550" s="631"/>
      <c r="E550" s="631"/>
      <c r="F550" s="631"/>
      <c r="G550" s="631"/>
      <c r="H550" s="631"/>
    </row>
    <row r="551" spans="1:8" x14ac:dyDescent="0.2">
      <c r="A551" s="631"/>
      <c r="B551" s="631"/>
      <c r="C551" s="631"/>
      <c r="D551" s="631"/>
      <c r="E551" s="631"/>
      <c r="F551" s="631"/>
      <c r="G551" s="631"/>
      <c r="H551" s="631"/>
    </row>
    <row r="552" spans="1:8" x14ac:dyDescent="0.2">
      <c r="A552" s="631"/>
      <c r="B552" s="631"/>
      <c r="C552" s="631"/>
      <c r="D552" s="631"/>
      <c r="E552" s="631"/>
      <c r="F552" s="631"/>
      <c r="G552" s="631"/>
      <c r="H552" s="631"/>
    </row>
    <row r="553" spans="1:8" x14ac:dyDescent="0.2">
      <c r="A553" s="631"/>
      <c r="B553" s="631"/>
      <c r="C553" s="631"/>
      <c r="D553" s="631"/>
      <c r="E553" s="631"/>
      <c r="F553" s="631"/>
      <c r="G553" s="631"/>
      <c r="H553" s="631"/>
    </row>
    <row r="554" spans="1:8" x14ac:dyDescent="0.2">
      <c r="A554" s="631"/>
      <c r="B554" s="631"/>
      <c r="C554" s="631"/>
      <c r="D554" s="631"/>
      <c r="E554" s="631"/>
      <c r="F554" s="631"/>
      <c r="G554" s="631"/>
      <c r="H554" s="631"/>
    </row>
    <row r="555" spans="1:8" x14ac:dyDescent="0.2">
      <c r="A555" s="631"/>
      <c r="B555" s="631"/>
      <c r="C555" s="631"/>
      <c r="D555" s="631"/>
      <c r="E555" s="631"/>
      <c r="F555" s="631"/>
      <c r="G555" s="631"/>
      <c r="H555" s="631"/>
    </row>
    <row r="556" spans="1:8" x14ac:dyDescent="0.2">
      <c r="A556" s="631"/>
      <c r="B556" s="631"/>
      <c r="C556" s="631"/>
      <c r="D556" s="631"/>
      <c r="E556" s="631"/>
      <c r="F556" s="631"/>
      <c r="G556" s="631"/>
      <c r="H556" s="631"/>
    </row>
    <row r="557" spans="1:8" x14ac:dyDescent="0.2">
      <c r="A557" s="631"/>
      <c r="B557" s="631"/>
      <c r="C557" s="631"/>
      <c r="D557" s="631"/>
      <c r="E557" s="631"/>
      <c r="F557" s="631"/>
      <c r="G557" s="631"/>
      <c r="H557" s="631"/>
    </row>
    <row r="558" spans="1:8" x14ac:dyDescent="0.2">
      <c r="A558" s="631"/>
      <c r="B558" s="631"/>
      <c r="C558" s="631"/>
      <c r="D558" s="631"/>
      <c r="E558" s="631"/>
      <c r="F558" s="631"/>
      <c r="G558" s="631"/>
      <c r="H558" s="631"/>
    </row>
    <row r="559" spans="1:8" x14ac:dyDescent="0.2">
      <c r="A559" s="631"/>
      <c r="B559" s="631"/>
      <c r="C559" s="631"/>
      <c r="D559" s="631"/>
      <c r="E559" s="631"/>
      <c r="F559" s="631"/>
      <c r="G559" s="631"/>
      <c r="H559" s="631"/>
    </row>
    <row r="560" spans="1:8" x14ac:dyDescent="0.2">
      <c r="A560" s="631"/>
      <c r="B560" s="631"/>
      <c r="C560" s="631"/>
      <c r="D560" s="631"/>
      <c r="E560" s="631"/>
      <c r="F560" s="631"/>
      <c r="G560" s="631"/>
      <c r="H560" s="631"/>
    </row>
    <row r="561" spans="1:8" x14ac:dyDescent="0.2">
      <c r="A561" s="631"/>
      <c r="B561" s="631"/>
      <c r="C561" s="631"/>
      <c r="D561" s="631"/>
      <c r="E561" s="631"/>
      <c r="F561" s="631"/>
      <c r="G561" s="631"/>
      <c r="H561" s="631"/>
    </row>
    <row r="562" spans="1:8" x14ac:dyDescent="0.2">
      <c r="A562" s="631"/>
      <c r="B562" s="631"/>
      <c r="C562" s="631"/>
      <c r="D562" s="631"/>
      <c r="E562" s="631"/>
      <c r="F562" s="631"/>
      <c r="G562" s="631"/>
      <c r="H562" s="631"/>
    </row>
    <row r="563" spans="1:8" x14ac:dyDescent="0.2">
      <c r="A563" s="631"/>
      <c r="B563" s="631"/>
      <c r="C563" s="631"/>
      <c r="D563" s="631"/>
      <c r="E563" s="631"/>
      <c r="F563" s="631"/>
      <c r="G563" s="631"/>
      <c r="H563" s="631"/>
    </row>
    <row r="564" spans="1:8" x14ac:dyDescent="0.2">
      <c r="A564" s="631"/>
      <c r="B564" s="631"/>
      <c r="C564" s="631"/>
      <c r="D564" s="631"/>
      <c r="E564" s="631"/>
      <c r="F564" s="631"/>
      <c r="G564" s="631"/>
      <c r="H564" s="631"/>
    </row>
    <row r="565" spans="1:8" x14ac:dyDescent="0.2">
      <c r="A565" s="631"/>
      <c r="B565" s="631"/>
      <c r="C565" s="631"/>
      <c r="D565" s="631"/>
      <c r="E565" s="631"/>
      <c r="F565" s="631"/>
      <c r="G565" s="631"/>
      <c r="H565" s="631"/>
    </row>
    <row r="566" spans="1:8" x14ac:dyDescent="0.2">
      <c r="A566" s="631"/>
      <c r="B566" s="631"/>
      <c r="C566" s="631"/>
      <c r="D566" s="631"/>
      <c r="E566" s="631"/>
      <c r="F566" s="631"/>
      <c r="G566" s="631"/>
      <c r="H566" s="631"/>
    </row>
    <row r="567" spans="1:8" x14ac:dyDescent="0.2">
      <c r="A567" s="631"/>
      <c r="B567" s="631"/>
      <c r="C567" s="631"/>
      <c r="D567" s="631"/>
      <c r="E567" s="631"/>
      <c r="F567" s="631"/>
      <c r="G567" s="631"/>
      <c r="H567" s="631"/>
    </row>
    <row r="568" spans="1:8" x14ac:dyDescent="0.2">
      <c r="A568" s="631"/>
      <c r="B568" s="631"/>
      <c r="C568" s="631"/>
      <c r="D568" s="631"/>
      <c r="E568" s="631"/>
      <c r="F568" s="631"/>
      <c r="G568" s="631"/>
      <c r="H568" s="631"/>
    </row>
    <row r="569" spans="1:8" x14ac:dyDescent="0.2">
      <c r="A569" s="631"/>
      <c r="B569" s="631"/>
      <c r="C569" s="631"/>
      <c r="D569" s="631"/>
      <c r="E569" s="631"/>
      <c r="F569" s="631"/>
      <c r="G569" s="631"/>
      <c r="H569" s="631"/>
    </row>
    <row r="570" spans="1:8" x14ac:dyDescent="0.2">
      <c r="A570" s="631"/>
      <c r="B570" s="631"/>
      <c r="C570" s="631"/>
      <c r="D570" s="631"/>
      <c r="E570" s="631"/>
      <c r="F570" s="631"/>
      <c r="G570" s="631"/>
      <c r="H570" s="631"/>
    </row>
    <row r="571" spans="1:8" x14ac:dyDescent="0.2">
      <c r="A571" s="631"/>
      <c r="B571" s="631"/>
      <c r="C571" s="631"/>
      <c r="D571" s="631"/>
      <c r="E571" s="631"/>
      <c r="F571" s="631"/>
      <c r="G571" s="631"/>
      <c r="H571" s="631"/>
    </row>
    <row r="572" spans="1:8" x14ac:dyDescent="0.2">
      <c r="A572" s="631"/>
      <c r="B572" s="631"/>
      <c r="C572" s="631"/>
      <c r="D572" s="631"/>
      <c r="E572" s="631"/>
      <c r="F572" s="631"/>
      <c r="G572" s="631"/>
      <c r="H572" s="631"/>
    </row>
    <row r="573" spans="1:8" x14ac:dyDescent="0.2">
      <c r="A573" s="631"/>
      <c r="B573" s="631"/>
      <c r="C573" s="631"/>
      <c r="D573" s="631"/>
      <c r="E573" s="631"/>
      <c r="F573" s="631"/>
      <c r="G573" s="631"/>
      <c r="H573" s="631"/>
    </row>
    <row r="574" spans="1:8" x14ac:dyDescent="0.2">
      <c r="A574" s="631"/>
      <c r="B574" s="631"/>
      <c r="C574" s="631"/>
      <c r="D574" s="631"/>
      <c r="E574" s="631"/>
      <c r="F574" s="631"/>
      <c r="G574" s="631"/>
      <c r="H574" s="631"/>
    </row>
    <row r="575" spans="1:8" x14ac:dyDescent="0.2">
      <c r="A575" s="631"/>
      <c r="B575" s="631"/>
      <c r="C575" s="631"/>
      <c r="D575" s="631"/>
      <c r="E575" s="631"/>
      <c r="F575" s="631"/>
      <c r="G575" s="631"/>
      <c r="H575" s="631"/>
    </row>
    <row r="576" spans="1:8" x14ac:dyDescent="0.2">
      <c r="A576" s="631"/>
      <c r="B576" s="631"/>
      <c r="C576" s="631"/>
      <c r="D576" s="631"/>
      <c r="E576" s="631"/>
      <c r="F576" s="631"/>
      <c r="G576" s="631"/>
      <c r="H576" s="631"/>
    </row>
    <row r="577" spans="1:8" x14ac:dyDescent="0.2">
      <c r="A577" s="631"/>
      <c r="B577" s="631"/>
      <c r="C577" s="631"/>
      <c r="D577" s="631"/>
      <c r="E577" s="631"/>
      <c r="F577" s="631"/>
      <c r="G577" s="631"/>
      <c r="H577" s="631"/>
    </row>
    <row r="578" spans="1:8" x14ac:dyDescent="0.2">
      <c r="A578" s="631"/>
      <c r="B578" s="631"/>
      <c r="C578" s="631"/>
      <c r="D578" s="631"/>
      <c r="E578" s="631"/>
      <c r="F578" s="631"/>
      <c r="G578" s="631"/>
      <c r="H578" s="631"/>
    </row>
    <row r="579" spans="1:8" x14ac:dyDescent="0.2">
      <c r="A579" s="631"/>
      <c r="B579" s="631"/>
      <c r="C579" s="631"/>
      <c r="D579" s="631"/>
      <c r="E579" s="631"/>
      <c r="F579" s="631"/>
      <c r="G579" s="631"/>
      <c r="H579" s="631"/>
    </row>
    <row r="580" spans="1:8" x14ac:dyDescent="0.2">
      <c r="A580" s="631"/>
      <c r="B580" s="631"/>
      <c r="C580" s="631"/>
      <c r="D580" s="631"/>
      <c r="E580" s="631"/>
      <c r="F580" s="631"/>
      <c r="G580" s="631"/>
      <c r="H580" s="631"/>
    </row>
    <row r="581" spans="1:8" x14ac:dyDescent="0.2">
      <c r="A581" s="631"/>
      <c r="B581" s="631"/>
      <c r="C581" s="631"/>
      <c r="D581" s="631"/>
      <c r="E581" s="631"/>
      <c r="F581" s="631"/>
      <c r="G581" s="631"/>
      <c r="H581" s="631"/>
    </row>
    <row r="582" spans="1:8" x14ac:dyDescent="0.2">
      <c r="A582" s="631"/>
      <c r="B582" s="631"/>
      <c r="C582" s="631"/>
      <c r="D582" s="631"/>
      <c r="E582" s="631"/>
      <c r="F582" s="631"/>
      <c r="G582" s="631"/>
      <c r="H582" s="631"/>
    </row>
    <row r="583" spans="1:8" x14ac:dyDescent="0.2">
      <c r="A583" s="631"/>
      <c r="B583" s="631"/>
      <c r="C583" s="631"/>
      <c r="D583" s="631"/>
      <c r="E583" s="631"/>
      <c r="F583" s="631"/>
      <c r="G583" s="631"/>
      <c r="H583" s="631"/>
    </row>
    <row r="584" spans="1:8" x14ac:dyDescent="0.2">
      <c r="A584" s="631"/>
      <c r="B584" s="631"/>
      <c r="C584" s="631"/>
      <c r="D584" s="631"/>
      <c r="E584" s="631"/>
      <c r="F584" s="631"/>
      <c r="G584" s="631"/>
      <c r="H584" s="631"/>
    </row>
    <row r="585" spans="1:8" x14ac:dyDescent="0.2">
      <c r="A585" s="631"/>
      <c r="B585" s="631"/>
      <c r="C585" s="631"/>
      <c r="D585" s="631"/>
      <c r="E585" s="631"/>
      <c r="F585" s="631"/>
      <c r="G585" s="631"/>
      <c r="H585" s="631"/>
    </row>
    <row r="586" spans="1:8" x14ac:dyDescent="0.2">
      <c r="A586" s="631"/>
      <c r="B586" s="631"/>
      <c r="C586" s="631"/>
      <c r="D586" s="631"/>
      <c r="E586" s="631"/>
      <c r="F586" s="631"/>
      <c r="G586" s="631"/>
      <c r="H586" s="631"/>
    </row>
    <row r="587" spans="1:8" x14ac:dyDescent="0.2">
      <c r="A587" s="631"/>
      <c r="B587" s="631"/>
      <c r="C587" s="631"/>
      <c r="D587" s="631"/>
      <c r="E587" s="631"/>
      <c r="F587" s="631"/>
      <c r="G587" s="631"/>
      <c r="H587" s="631"/>
    </row>
    <row r="588" spans="1:8" x14ac:dyDescent="0.2">
      <c r="A588" s="631"/>
      <c r="B588" s="631"/>
      <c r="C588" s="631"/>
      <c r="D588" s="631"/>
      <c r="E588" s="631"/>
      <c r="F588" s="631"/>
      <c r="G588" s="631"/>
      <c r="H588" s="631"/>
    </row>
    <row r="589" spans="1:8" x14ac:dyDescent="0.2">
      <c r="A589" s="631"/>
      <c r="B589" s="631"/>
      <c r="C589" s="631"/>
      <c r="D589" s="631"/>
      <c r="E589" s="631"/>
      <c r="F589" s="631"/>
      <c r="G589" s="631"/>
      <c r="H589" s="631"/>
    </row>
    <row r="590" spans="1:8" x14ac:dyDescent="0.2">
      <c r="A590" s="631"/>
      <c r="B590" s="631"/>
      <c r="C590" s="631"/>
      <c r="D590" s="631"/>
      <c r="E590" s="631"/>
      <c r="F590" s="631"/>
      <c r="G590" s="631"/>
      <c r="H590" s="631"/>
    </row>
    <row r="591" spans="1:8" x14ac:dyDescent="0.2">
      <c r="A591" s="631"/>
      <c r="B591" s="631"/>
      <c r="C591" s="631"/>
      <c r="D591" s="631"/>
      <c r="E591" s="631"/>
      <c r="F591" s="631"/>
      <c r="G591" s="631"/>
      <c r="H591" s="631"/>
    </row>
    <row r="592" spans="1:8" x14ac:dyDescent="0.2">
      <c r="A592" s="631"/>
      <c r="B592" s="631"/>
      <c r="C592" s="631"/>
      <c r="D592" s="631"/>
      <c r="E592" s="631"/>
      <c r="F592" s="631"/>
      <c r="G592" s="631"/>
      <c r="H592" s="631"/>
    </row>
    <row r="593" spans="1:8" x14ac:dyDescent="0.2">
      <c r="A593" s="631"/>
      <c r="B593" s="631"/>
      <c r="C593" s="631"/>
      <c r="D593" s="631"/>
      <c r="E593" s="631"/>
      <c r="F593" s="631"/>
      <c r="G593" s="631"/>
      <c r="H593" s="631"/>
    </row>
    <row r="594" spans="1:8" x14ac:dyDescent="0.2">
      <c r="A594" s="631"/>
      <c r="B594" s="631"/>
      <c r="C594" s="631"/>
      <c r="D594" s="631"/>
      <c r="E594" s="631"/>
      <c r="F594" s="631"/>
      <c r="G594" s="631"/>
      <c r="H594" s="631"/>
    </row>
    <row r="595" spans="1:8" x14ac:dyDescent="0.2">
      <c r="A595" s="631"/>
      <c r="B595" s="631"/>
      <c r="C595" s="631"/>
      <c r="D595" s="631"/>
      <c r="E595" s="631"/>
      <c r="F595" s="631"/>
      <c r="G595" s="631"/>
      <c r="H595" s="631"/>
    </row>
    <row r="596" spans="1:8" x14ac:dyDescent="0.2">
      <c r="A596" s="631"/>
      <c r="B596" s="631"/>
      <c r="C596" s="631"/>
      <c r="D596" s="631"/>
      <c r="E596" s="631"/>
      <c r="F596" s="631"/>
      <c r="G596" s="631"/>
      <c r="H596" s="631"/>
    </row>
    <row r="597" spans="1:8" x14ac:dyDescent="0.2">
      <c r="A597" s="631"/>
      <c r="B597" s="631"/>
      <c r="C597" s="631"/>
      <c r="D597" s="631"/>
      <c r="E597" s="631"/>
      <c r="F597" s="631"/>
      <c r="G597" s="631"/>
      <c r="H597" s="631"/>
    </row>
    <row r="598" spans="1:8" x14ac:dyDescent="0.2">
      <c r="A598" s="631"/>
      <c r="B598" s="631"/>
      <c r="C598" s="631"/>
      <c r="D598" s="631"/>
      <c r="E598" s="631"/>
      <c r="F598" s="631"/>
      <c r="G598" s="631"/>
      <c r="H598" s="631"/>
    </row>
    <row r="599" spans="1:8" x14ac:dyDescent="0.2">
      <c r="A599" s="631"/>
      <c r="B599" s="631"/>
      <c r="C599" s="631"/>
      <c r="D599" s="631"/>
      <c r="E599" s="631"/>
      <c r="F599" s="631"/>
      <c r="G599" s="631"/>
      <c r="H599" s="631"/>
    </row>
    <row r="600" spans="1:8" x14ac:dyDescent="0.2">
      <c r="A600" s="631"/>
      <c r="B600" s="631"/>
      <c r="C600" s="631"/>
      <c r="D600" s="631"/>
      <c r="E600" s="631"/>
      <c r="F600" s="631"/>
      <c r="G600" s="631"/>
      <c r="H600" s="631"/>
    </row>
    <row r="601" spans="1:8" x14ac:dyDescent="0.2">
      <c r="A601" s="631"/>
      <c r="B601" s="631"/>
      <c r="C601" s="631"/>
      <c r="D601" s="631"/>
      <c r="E601" s="631"/>
      <c r="F601" s="631"/>
      <c r="G601" s="631"/>
      <c r="H601" s="631"/>
    </row>
    <row r="602" spans="1:8" x14ac:dyDescent="0.2">
      <c r="A602" s="631"/>
      <c r="B602" s="631"/>
      <c r="C602" s="631"/>
      <c r="D602" s="631"/>
      <c r="E602" s="631"/>
      <c r="F602" s="631"/>
      <c r="G602" s="631"/>
      <c r="H602" s="631"/>
    </row>
    <row r="603" spans="1:8" x14ac:dyDescent="0.2">
      <c r="A603" s="631"/>
      <c r="B603" s="631"/>
      <c r="C603" s="631"/>
      <c r="D603" s="631"/>
      <c r="E603" s="631"/>
      <c r="F603" s="631"/>
      <c r="G603" s="631"/>
      <c r="H603" s="631"/>
    </row>
    <row r="604" spans="1:8" x14ac:dyDescent="0.2">
      <c r="A604" s="631"/>
      <c r="B604" s="631"/>
      <c r="C604" s="631"/>
      <c r="D604" s="631"/>
      <c r="E604" s="631"/>
      <c r="F604" s="631"/>
      <c r="G604" s="631"/>
      <c r="H604" s="631"/>
    </row>
    <row r="605" spans="1:8" x14ac:dyDescent="0.2">
      <c r="A605" s="631"/>
      <c r="B605" s="631"/>
      <c r="C605" s="631"/>
      <c r="D605" s="631"/>
      <c r="E605" s="631"/>
      <c r="F605" s="631"/>
      <c r="G605" s="631"/>
      <c r="H605" s="631"/>
    </row>
    <row r="606" spans="1:8" x14ac:dyDescent="0.2">
      <c r="A606" s="631"/>
      <c r="B606" s="631"/>
      <c r="C606" s="631"/>
      <c r="D606" s="631"/>
      <c r="E606" s="631"/>
      <c r="F606" s="631"/>
      <c r="G606" s="631"/>
      <c r="H606" s="631"/>
    </row>
    <row r="607" spans="1:8" x14ac:dyDescent="0.2">
      <c r="A607" s="631"/>
      <c r="B607" s="631"/>
      <c r="C607" s="631"/>
      <c r="D607" s="631"/>
      <c r="E607" s="631"/>
      <c r="F607" s="631"/>
      <c r="G607" s="631"/>
      <c r="H607" s="631"/>
    </row>
    <row r="608" spans="1:8" x14ac:dyDescent="0.2">
      <c r="A608" s="631"/>
      <c r="B608" s="631"/>
      <c r="C608" s="631"/>
      <c r="D608" s="631"/>
      <c r="E608" s="631"/>
      <c r="F608" s="631"/>
      <c r="G608" s="631"/>
      <c r="H608" s="631"/>
    </row>
    <row r="609" spans="1:8" x14ac:dyDescent="0.2">
      <c r="A609" s="631"/>
      <c r="B609" s="631"/>
      <c r="C609" s="631"/>
      <c r="D609" s="631"/>
      <c r="E609" s="631"/>
      <c r="F609" s="631"/>
      <c r="G609" s="631"/>
      <c r="H609" s="631"/>
    </row>
    <row r="610" spans="1:8" x14ac:dyDescent="0.2">
      <c r="A610" s="631"/>
      <c r="B610" s="631"/>
      <c r="C610" s="631"/>
      <c r="D610" s="631"/>
      <c r="E610" s="631"/>
      <c r="F610" s="631"/>
      <c r="G610" s="631"/>
      <c r="H610" s="631"/>
    </row>
    <row r="611" spans="1:8" x14ac:dyDescent="0.2">
      <c r="A611" s="631"/>
      <c r="B611" s="631"/>
      <c r="C611" s="631"/>
      <c r="D611" s="631"/>
      <c r="E611" s="631"/>
      <c r="F611" s="631"/>
      <c r="G611" s="631"/>
      <c r="H611" s="631"/>
    </row>
    <row r="612" spans="1:8" x14ac:dyDescent="0.2">
      <c r="A612" s="631"/>
      <c r="B612" s="631"/>
      <c r="C612" s="631"/>
      <c r="D612" s="631"/>
      <c r="E612" s="631"/>
      <c r="F612" s="631"/>
      <c r="G612" s="631"/>
      <c r="H612" s="631"/>
    </row>
    <row r="613" spans="1:8" x14ac:dyDescent="0.2">
      <c r="A613" s="631"/>
      <c r="B613" s="631"/>
      <c r="C613" s="631"/>
      <c r="D613" s="631"/>
      <c r="E613" s="631"/>
      <c r="F613" s="631"/>
      <c r="G613" s="631"/>
      <c r="H613" s="631"/>
    </row>
    <row r="614" spans="1:8" x14ac:dyDescent="0.2">
      <c r="A614" s="631"/>
      <c r="B614" s="631"/>
      <c r="C614" s="631"/>
      <c r="D614" s="631"/>
      <c r="E614" s="631"/>
      <c r="F614" s="631"/>
      <c r="G614" s="631"/>
      <c r="H614" s="631"/>
    </row>
    <row r="615" spans="1:8" x14ac:dyDescent="0.2">
      <c r="A615" s="631"/>
      <c r="B615" s="631"/>
      <c r="C615" s="631"/>
      <c r="D615" s="631"/>
      <c r="E615" s="631"/>
      <c r="F615" s="631"/>
      <c r="G615" s="631"/>
      <c r="H615" s="631"/>
    </row>
    <row r="616" spans="1:8" x14ac:dyDescent="0.2">
      <c r="A616" s="631"/>
      <c r="B616" s="631"/>
      <c r="C616" s="631"/>
      <c r="D616" s="631"/>
      <c r="E616" s="631"/>
      <c r="F616" s="631"/>
      <c r="G616" s="631"/>
      <c r="H616" s="631"/>
    </row>
    <row r="617" spans="1:8" x14ac:dyDescent="0.2">
      <c r="A617" s="631"/>
      <c r="B617" s="631"/>
      <c r="C617" s="631"/>
      <c r="D617" s="631"/>
      <c r="E617" s="631"/>
      <c r="F617" s="631"/>
      <c r="G617" s="631"/>
      <c r="H617" s="631"/>
    </row>
    <row r="618" spans="1:8" x14ac:dyDescent="0.2">
      <c r="A618" s="631"/>
      <c r="B618" s="631"/>
      <c r="C618" s="631"/>
      <c r="D618" s="631"/>
      <c r="E618" s="631"/>
      <c r="F618" s="631"/>
      <c r="G618" s="631"/>
      <c r="H618" s="631"/>
    </row>
    <row r="619" spans="1:8" x14ac:dyDescent="0.2">
      <c r="A619" s="631"/>
      <c r="B619" s="631"/>
      <c r="C619" s="631"/>
      <c r="D619" s="631"/>
      <c r="E619" s="631"/>
      <c r="F619" s="631"/>
      <c r="G619" s="631"/>
      <c r="H619" s="631"/>
    </row>
    <row r="620" spans="1:8" x14ac:dyDescent="0.2">
      <c r="A620" s="631"/>
      <c r="B620" s="631"/>
      <c r="C620" s="631"/>
      <c r="D620" s="631"/>
      <c r="E620" s="631"/>
      <c r="F620" s="631"/>
      <c r="G620" s="631"/>
      <c r="H620" s="631"/>
    </row>
    <row r="621" spans="1:8" x14ac:dyDescent="0.2">
      <c r="A621" s="631"/>
      <c r="B621" s="631"/>
      <c r="C621" s="631"/>
      <c r="D621" s="631"/>
      <c r="E621" s="631"/>
      <c r="F621" s="631"/>
      <c r="G621" s="631"/>
      <c r="H621" s="631"/>
    </row>
    <row r="622" spans="1:8" x14ac:dyDescent="0.2">
      <c r="A622" s="631"/>
      <c r="B622" s="631"/>
      <c r="C622" s="631"/>
      <c r="D622" s="631"/>
      <c r="E622" s="631"/>
      <c r="F622" s="631"/>
      <c r="G622" s="631"/>
      <c r="H622" s="631"/>
    </row>
    <row r="623" spans="1:8" x14ac:dyDescent="0.2">
      <c r="A623" s="631"/>
      <c r="B623" s="631"/>
      <c r="C623" s="631"/>
      <c r="D623" s="631"/>
      <c r="E623" s="631"/>
      <c r="F623" s="631"/>
      <c r="G623" s="631"/>
      <c r="H623" s="631"/>
    </row>
    <row r="624" spans="1:8" x14ac:dyDescent="0.2">
      <c r="A624" s="631"/>
      <c r="B624" s="631"/>
      <c r="C624" s="631"/>
      <c r="D624" s="631"/>
      <c r="E624" s="631"/>
      <c r="F624" s="631"/>
      <c r="G624" s="631"/>
      <c r="H624" s="631"/>
    </row>
    <row r="625" spans="1:8" x14ac:dyDescent="0.2">
      <c r="A625" s="631"/>
      <c r="B625" s="631"/>
      <c r="C625" s="631"/>
      <c r="D625" s="631"/>
      <c r="E625" s="631"/>
      <c r="F625" s="631"/>
      <c r="G625" s="631"/>
      <c r="H625" s="631"/>
    </row>
    <row r="626" spans="1:8" x14ac:dyDescent="0.2">
      <c r="A626" s="631"/>
      <c r="B626" s="631"/>
      <c r="C626" s="631"/>
      <c r="D626" s="631"/>
      <c r="E626" s="631"/>
      <c r="F626" s="631"/>
      <c r="G626" s="631"/>
      <c r="H626" s="631"/>
    </row>
    <row r="627" spans="1:8" x14ac:dyDescent="0.2">
      <c r="A627" s="631"/>
      <c r="B627" s="631"/>
      <c r="C627" s="631"/>
      <c r="D627" s="631"/>
      <c r="E627" s="631"/>
      <c r="F627" s="631"/>
      <c r="G627" s="631"/>
      <c r="H627" s="631"/>
    </row>
    <row r="628" spans="1:8" x14ac:dyDescent="0.2">
      <c r="A628" s="631"/>
      <c r="B628" s="631"/>
      <c r="C628" s="631"/>
      <c r="D628" s="631"/>
      <c r="E628" s="631"/>
      <c r="F628" s="631"/>
      <c r="G628" s="631"/>
      <c r="H628" s="631"/>
    </row>
    <row r="629" spans="1:8" x14ac:dyDescent="0.2">
      <c r="A629" s="631"/>
      <c r="B629" s="631"/>
      <c r="C629" s="631"/>
      <c r="D629" s="631"/>
      <c r="E629" s="631"/>
      <c r="F629" s="631"/>
      <c r="G629" s="631"/>
      <c r="H629" s="631"/>
    </row>
    <row r="630" spans="1:8" x14ac:dyDescent="0.2">
      <c r="A630" s="631"/>
      <c r="B630" s="631"/>
      <c r="C630" s="631"/>
      <c r="D630" s="631"/>
      <c r="E630" s="631"/>
      <c r="F630" s="631"/>
      <c r="G630" s="631"/>
      <c r="H630" s="631"/>
    </row>
    <row r="631" spans="1:8" x14ac:dyDescent="0.2">
      <c r="A631" s="631"/>
      <c r="B631" s="631"/>
      <c r="C631" s="631"/>
      <c r="D631" s="631"/>
      <c r="E631" s="631"/>
      <c r="F631" s="631"/>
      <c r="G631" s="631"/>
      <c r="H631" s="631"/>
    </row>
    <row r="632" spans="1:8" x14ac:dyDescent="0.2">
      <c r="A632" s="631"/>
      <c r="B632" s="631"/>
      <c r="C632" s="631"/>
      <c r="D632" s="631"/>
      <c r="E632" s="631"/>
      <c r="F632" s="631"/>
      <c r="G632" s="631"/>
      <c r="H632" s="631"/>
    </row>
    <row r="633" spans="1:8" x14ac:dyDescent="0.2">
      <c r="A633" s="631"/>
      <c r="B633" s="631"/>
      <c r="C633" s="631"/>
      <c r="D633" s="631"/>
      <c r="E633" s="631"/>
      <c r="F633" s="631"/>
      <c r="G633" s="631"/>
      <c r="H633" s="631"/>
    </row>
    <row r="634" spans="1:8" x14ac:dyDescent="0.2">
      <c r="A634" s="631"/>
      <c r="B634" s="631"/>
      <c r="C634" s="631"/>
      <c r="D634" s="631"/>
      <c r="E634" s="631"/>
      <c r="F634" s="631"/>
      <c r="G634" s="631"/>
      <c r="H634" s="631"/>
    </row>
    <row r="635" spans="1:8" x14ac:dyDescent="0.2">
      <c r="A635" s="631"/>
      <c r="B635" s="631"/>
      <c r="C635" s="631"/>
      <c r="D635" s="631"/>
      <c r="E635" s="631"/>
      <c r="F635" s="631"/>
      <c r="G635" s="631"/>
      <c r="H635" s="631"/>
    </row>
    <row r="636" spans="1:8" x14ac:dyDescent="0.2">
      <c r="A636" s="631"/>
      <c r="B636" s="631"/>
      <c r="C636" s="631"/>
      <c r="D636" s="631"/>
      <c r="E636" s="631"/>
      <c r="F636" s="631"/>
      <c r="G636" s="631"/>
      <c r="H636" s="631"/>
    </row>
    <row r="637" spans="1:8" x14ac:dyDescent="0.2">
      <c r="A637" s="631"/>
      <c r="B637" s="631"/>
      <c r="C637" s="631"/>
      <c r="D637" s="631"/>
      <c r="E637" s="631"/>
      <c r="F637" s="631"/>
      <c r="G637" s="631"/>
      <c r="H637" s="631"/>
    </row>
    <row r="638" spans="1:8" x14ac:dyDescent="0.2">
      <c r="A638" s="631"/>
      <c r="B638" s="631"/>
      <c r="C638" s="631"/>
      <c r="D638" s="631"/>
      <c r="E638" s="631"/>
      <c r="F638" s="631"/>
      <c r="G638" s="631"/>
      <c r="H638" s="631"/>
    </row>
    <row r="639" spans="1:8" x14ac:dyDescent="0.2">
      <c r="A639" s="631"/>
      <c r="B639" s="631"/>
      <c r="C639" s="631"/>
      <c r="D639" s="631"/>
      <c r="E639" s="631"/>
      <c r="F639" s="631"/>
      <c r="G639" s="631"/>
      <c r="H639" s="631"/>
    </row>
    <row r="640" spans="1:8" x14ac:dyDescent="0.2">
      <c r="A640" s="631"/>
      <c r="B640" s="631"/>
      <c r="C640" s="631"/>
      <c r="D640" s="631"/>
      <c r="E640" s="631"/>
      <c r="F640" s="631"/>
      <c r="G640" s="631"/>
      <c r="H640" s="631"/>
    </row>
    <row r="641" spans="1:8" x14ac:dyDescent="0.2">
      <c r="A641" s="631"/>
      <c r="B641" s="631"/>
      <c r="C641" s="631"/>
      <c r="D641" s="631"/>
      <c r="E641" s="631"/>
      <c r="F641" s="631"/>
      <c r="G641" s="631"/>
      <c r="H641" s="631"/>
    </row>
    <row r="642" spans="1:8" x14ac:dyDescent="0.2">
      <c r="A642" s="631"/>
      <c r="B642" s="631"/>
      <c r="C642" s="631"/>
      <c r="D642" s="631"/>
      <c r="E642" s="631"/>
      <c r="F642" s="631"/>
      <c r="G642" s="631"/>
      <c r="H642" s="631"/>
    </row>
    <row r="643" spans="1:8" x14ac:dyDescent="0.2">
      <c r="A643" s="631"/>
      <c r="B643" s="631"/>
      <c r="C643" s="631"/>
      <c r="D643" s="631"/>
      <c r="E643" s="631"/>
      <c r="F643" s="631"/>
      <c r="G643" s="631"/>
      <c r="H643" s="631"/>
    </row>
    <row r="644" spans="1:8" x14ac:dyDescent="0.2">
      <c r="A644" s="631"/>
      <c r="B644" s="631"/>
      <c r="C644" s="631"/>
      <c r="D644" s="631"/>
      <c r="E644" s="631"/>
      <c r="F644" s="631"/>
      <c r="G644" s="631"/>
      <c r="H644" s="631"/>
    </row>
    <row r="645" spans="1:8" x14ac:dyDescent="0.2">
      <c r="A645" s="631"/>
      <c r="B645" s="631"/>
      <c r="C645" s="631"/>
      <c r="D645" s="631"/>
      <c r="E645" s="631"/>
      <c r="F645" s="631"/>
      <c r="G645" s="631"/>
      <c r="H645" s="631"/>
    </row>
    <row r="646" spans="1:8" x14ac:dyDescent="0.2">
      <c r="A646" s="631"/>
      <c r="B646" s="631"/>
      <c r="C646" s="631"/>
      <c r="D646" s="631"/>
      <c r="E646" s="631"/>
      <c r="F646" s="631"/>
      <c r="G646" s="631"/>
      <c r="H646" s="631"/>
    </row>
    <row r="647" spans="1:8" x14ac:dyDescent="0.2">
      <c r="A647" s="631"/>
      <c r="B647" s="631"/>
      <c r="C647" s="631"/>
      <c r="D647" s="631"/>
      <c r="E647" s="631"/>
      <c r="F647" s="631"/>
      <c r="G647" s="631"/>
      <c r="H647" s="631"/>
    </row>
    <row r="648" spans="1:8" x14ac:dyDescent="0.2">
      <c r="A648" s="631"/>
      <c r="B648" s="631"/>
      <c r="C648" s="631"/>
      <c r="D648" s="631"/>
      <c r="E648" s="631"/>
      <c r="F648" s="631"/>
      <c r="G648" s="631"/>
      <c r="H648" s="631"/>
    </row>
    <row r="649" spans="1:8" x14ac:dyDescent="0.2">
      <c r="A649" s="631"/>
      <c r="B649" s="631"/>
      <c r="C649" s="631"/>
      <c r="D649" s="631"/>
      <c r="E649" s="631"/>
      <c r="F649" s="631"/>
      <c r="G649" s="631"/>
      <c r="H649" s="631"/>
    </row>
    <row r="650" spans="1:8" x14ac:dyDescent="0.2">
      <c r="A650" s="631"/>
      <c r="B650" s="631"/>
      <c r="C650" s="631"/>
      <c r="D650" s="631"/>
      <c r="E650" s="631"/>
      <c r="F650" s="631"/>
      <c r="G650" s="631"/>
      <c r="H650" s="631"/>
    </row>
    <row r="651" spans="1:8" x14ac:dyDescent="0.2">
      <c r="A651" s="631"/>
      <c r="B651" s="631"/>
      <c r="C651" s="631"/>
      <c r="D651" s="631"/>
      <c r="E651" s="631"/>
      <c r="F651" s="631"/>
      <c r="G651" s="631"/>
      <c r="H651" s="631"/>
    </row>
    <row r="652" spans="1:8" x14ac:dyDescent="0.2">
      <c r="A652" s="631"/>
      <c r="B652" s="631"/>
      <c r="C652" s="631"/>
      <c r="D652" s="631"/>
      <c r="E652" s="631"/>
      <c r="F652" s="631"/>
      <c r="G652" s="631"/>
      <c r="H652" s="631"/>
    </row>
    <row r="653" spans="1:8" x14ac:dyDescent="0.2">
      <c r="A653" s="631"/>
      <c r="B653" s="631"/>
      <c r="C653" s="631"/>
      <c r="D653" s="631"/>
      <c r="E653" s="631"/>
      <c r="F653" s="631"/>
      <c r="G653" s="631"/>
      <c r="H653" s="631"/>
    </row>
    <row r="654" spans="1:8" x14ac:dyDescent="0.2">
      <c r="A654" s="631"/>
      <c r="B654" s="631"/>
      <c r="C654" s="631"/>
      <c r="D654" s="631"/>
      <c r="E654" s="631"/>
      <c r="F654" s="631"/>
      <c r="G654" s="631"/>
      <c r="H654" s="631"/>
    </row>
    <row r="655" spans="1:8" x14ac:dyDescent="0.2">
      <c r="A655" s="631"/>
      <c r="B655" s="631"/>
      <c r="C655" s="631"/>
      <c r="D655" s="631"/>
      <c r="E655" s="631"/>
      <c r="F655" s="631"/>
      <c r="G655" s="631"/>
      <c r="H655" s="631"/>
    </row>
    <row r="656" spans="1:8" x14ac:dyDescent="0.2">
      <c r="A656" s="631"/>
      <c r="B656" s="631"/>
      <c r="C656" s="631"/>
      <c r="D656" s="631"/>
      <c r="E656" s="631"/>
      <c r="F656" s="631"/>
      <c r="G656" s="631"/>
      <c r="H656" s="631"/>
    </row>
    <row r="657" spans="1:8" x14ac:dyDescent="0.2">
      <c r="A657" s="631"/>
      <c r="B657" s="631"/>
      <c r="C657" s="631"/>
      <c r="D657" s="631"/>
      <c r="E657" s="631"/>
      <c r="F657" s="631"/>
      <c r="G657" s="631"/>
      <c r="H657" s="631"/>
    </row>
    <row r="658" spans="1:8" x14ac:dyDescent="0.2">
      <c r="A658" s="631"/>
      <c r="B658" s="631"/>
      <c r="C658" s="631"/>
      <c r="D658" s="631"/>
      <c r="E658" s="631"/>
      <c r="F658" s="631"/>
      <c r="G658" s="631"/>
      <c r="H658" s="631"/>
    </row>
    <row r="659" spans="1:8" x14ac:dyDescent="0.2">
      <c r="A659" s="631"/>
      <c r="B659" s="631"/>
      <c r="C659" s="631"/>
      <c r="D659" s="631"/>
      <c r="E659" s="631"/>
      <c r="F659" s="631"/>
      <c r="G659" s="631"/>
      <c r="H659" s="631"/>
    </row>
    <row r="660" spans="1:8" x14ac:dyDescent="0.2">
      <c r="A660" s="631"/>
      <c r="B660" s="631"/>
      <c r="C660" s="631"/>
      <c r="D660" s="631"/>
      <c r="E660" s="631"/>
      <c r="F660" s="631"/>
      <c r="G660" s="631"/>
      <c r="H660" s="631"/>
    </row>
    <row r="661" spans="1:8" x14ac:dyDescent="0.2">
      <c r="A661" s="631"/>
      <c r="B661" s="631"/>
      <c r="C661" s="631"/>
      <c r="D661" s="631"/>
      <c r="E661" s="631"/>
      <c r="F661" s="631"/>
      <c r="G661" s="631"/>
      <c r="H661" s="631"/>
    </row>
    <row r="662" spans="1:8" x14ac:dyDescent="0.2">
      <c r="A662" s="631"/>
      <c r="B662" s="631"/>
      <c r="C662" s="631"/>
      <c r="D662" s="631"/>
      <c r="E662" s="631"/>
      <c r="F662" s="631"/>
      <c r="G662" s="631"/>
      <c r="H662" s="631"/>
    </row>
    <row r="663" spans="1:8" x14ac:dyDescent="0.2">
      <c r="A663" s="631"/>
      <c r="B663" s="631"/>
      <c r="C663" s="631"/>
      <c r="D663" s="631"/>
      <c r="E663" s="631"/>
      <c r="F663" s="631"/>
      <c r="G663" s="631"/>
      <c r="H663" s="631"/>
    </row>
    <row r="664" spans="1:8" x14ac:dyDescent="0.2">
      <c r="A664" s="631"/>
      <c r="B664" s="631"/>
      <c r="C664" s="631"/>
      <c r="D664" s="631"/>
      <c r="E664" s="631"/>
      <c r="F664" s="631"/>
      <c r="G664" s="631"/>
      <c r="H664" s="631"/>
    </row>
    <row r="665" spans="1:8" x14ac:dyDescent="0.2">
      <c r="A665" s="631"/>
      <c r="B665" s="631"/>
      <c r="C665" s="631"/>
      <c r="D665" s="631"/>
      <c r="E665" s="631"/>
      <c r="F665" s="631"/>
      <c r="G665" s="631"/>
      <c r="H665" s="631"/>
    </row>
    <row r="666" spans="1:8" x14ac:dyDescent="0.2">
      <c r="A666" s="631"/>
      <c r="B666" s="631"/>
      <c r="C666" s="631"/>
      <c r="D666" s="631"/>
      <c r="E666" s="631"/>
      <c r="F666" s="631"/>
      <c r="G666" s="631"/>
      <c r="H666" s="631"/>
    </row>
    <row r="667" spans="1:8" x14ac:dyDescent="0.2">
      <c r="A667" s="631"/>
      <c r="B667" s="631"/>
      <c r="C667" s="631"/>
      <c r="D667" s="631"/>
      <c r="E667" s="631"/>
      <c r="F667" s="631"/>
      <c r="G667" s="631"/>
      <c r="H667" s="631"/>
    </row>
    <row r="668" spans="1:8" x14ac:dyDescent="0.2">
      <c r="A668" s="631"/>
      <c r="B668" s="631"/>
      <c r="C668" s="631"/>
      <c r="D668" s="631"/>
      <c r="E668" s="631"/>
      <c r="F668" s="631"/>
      <c r="G668" s="631"/>
      <c r="H668" s="631"/>
    </row>
    <row r="669" spans="1:8" x14ac:dyDescent="0.2">
      <c r="A669" s="631"/>
      <c r="B669" s="631"/>
      <c r="C669" s="631"/>
      <c r="D669" s="631"/>
      <c r="E669" s="631"/>
      <c r="F669" s="631"/>
      <c r="G669" s="631"/>
      <c r="H669" s="631"/>
    </row>
    <row r="670" spans="1:8" x14ac:dyDescent="0.2">
      <c r="A670" s="631"/>
      <c r="B670" s="631"/>
      <c r="C670" s="631"/>
      <c r="D670" s="631"/>
      <c r="E670" s="631"/>
      <c r="F670" s="631"/>
      <c r="G670" s="631"/>
      <c r="H670" s="631"/>
    </row>
    <row r="671" spans="1:8" x14ac:dyDescent="0.2">
      <c r="A671" s="631"/>
      <c r="B671" s="631"/>
      <c r="C671" s="631"/>
      <c r="D671" s="631"/>
      <c r="E671" s="631"/>
      <c r="F671" s="631"/>
      <c r="G671" s="631"/>
      <c r="H671" s="631"/>
    </row>
    <row r="672" spans="1:8" x14ac:dyDescent="0.2">
      <c r="A672" s="631"/>
      <c r="B672" s="631"/>
      <c r="C672" s="631"/>
      <c r="D672" s="631"/>
      <c r="E672" s="631"/>
      <c r="F672" s="631"/>
      <c r="G672" s="631"/>
      <c r="H672" s="631"/>
    </row>
    <row r="673" spans="1:8" x14ac:dyDescent="0.2">
      <c r="A673" s="631"/>
      <c r="B673" s="631"/>
      <c r="C673" s="631"/>
      <c r="D673" s="631"/>
      <c r="E673" s="631"/>
      <c r="F673" s="631"/>
      <c r="G673" s="631"/>
      <c r="H673" s="631"/>
    </row>
    <row r="674" spans="1:8" x14ac:dyDescent="0.2">
      <c r="A674" s="631"/>
      <c r="B674" s="631"/>
      <c r="C674" s="631"/>
      <c r="D674" s="631"/>
      <c r="E674" s="631"/>
      <c r="F674" s="631"/>
      <c r="G674" s="631"/>
      <c r="H674" s="631"/>
    </row>
    <row r="675" spans="1:8" x14ac:dyDescent="0.2">
      <c r="A675" s="631"/>
      <c r="B675" s="631"/>
      <c r="C675" s="631"/>
      <c r="D675" s="631"/>
      <c r="E675" s="631"/>
      <c r="F675" s="631"/>
      <c r="G675" s="631"/>
      <c r="H675" s="631"/>
    </row>
    <row r="676" spans="1:8" x14ac:dyDescent="0.2">
      <c r="A676" s="631"/>
      <c r="B676" s="631"/>
      <c r="C676" s="631"/>
      <c r="D676" s="631"/>
      <c r="E676" s="631"/>
      <c r="F676" s="631"/>
      <c r="G676" s="631"/>
      <c r="H676" s="631"/>
    </row>
    <row r="677" spans="1:8" x14ac:dyDescent="0.2">
      <c r="A677" s="631"/>
      <c r="B677" s="631"/>
      <c r="C677" s="631"/>
      <c r="D677" s="631"/>
      <c r="E677" s="631"/>
      <c r="F677" s="631"/>
      <c r="G677" s="631"/>
      <c r="H677" s="631"/>
    </row>
    <row r="678" spans="1:8" x14ac:dyDescent="0.2">
      <c r="A678" s="631"/>
      <c r="B678" s="631"/>
      <c r="C678" s="631"/>
      <c r="D678" s="631"/>
      <c r="E678" s="631"/>
      <c r="F678" s="631"/>
      <c r="G678" s="631"/>
      <c r="H678" s="631"/>
    </row>
    <row r="679" spans="1:8" x14ac:dyDescent="0.2">
      <c r="A679" s="631"/>
      <c r="B679" s="631"/>
      <c r="C679" s="631"/>
      <c r="D679" s="631"/>
      <c r="E679" s="631"/>
      <c r="F679" s="631"/>
      <c r="G679" s="631"/>
      <c r="H679" s="631"/>
    </row>
    <row r="680" spans="1:8" x14ac:dyDescent="0.2">
      <c r="A680" s="631"/>
      <c r="B680" s="631"/>
      <c r="C680" s="631"/>
      <c r="D680" s="631"/>
      <c r="E680" s="631"/>
      <c r="F680" s="631"/>
      <c r="G680" s="631"/>
      <c r="H680" s="631"/>
    </row>
    <row r="681" spans="1:8" x14ac:dyDescent="0.2">
      <c r="A681" s="631"/>
      <c r="B681" s="631"/>
      <c r="C681" s="631"/>
      <c r="D681" s="631"/>
      <c r="E681" s="631"/>
      <c r="F681" s="631"/>
      <c r="G681" s="631"/>
      <c r="H681" s="631"/>
    </row>
    <row r="682" spans="1:8" x14ac:dyDescent="0.2">
      <c r="A682" s="631"/>
      <c r="B682" s="631"/>
      <c r="C682" s="631"/>
      <c r="D682" s="631"/>
      <c r="E682" s="631"/>
      <c r="F682" s="631"/>
      <c r="G682" s="631"/>
      <c r="H682" s="631"/>
    </row>
    <row r="683" spans="1:8" x14ac:dyDescent="0.2">
      <c r="A683" s="631"/>
      <c r="B683" s="631"/>
      <c r="C683" s="631"/>
      <c r="D683" s="631"/>
      <c r="E683" s="631"/>
      <c r="F683" s="631"/>
      <c r="G683" s="631"/>
      <c r="H683" s="631"/>
    </row>
    <row r="684" spans="1:8" x14ac:dyDescent="0.2">
      <c r="A684" s="631"/>
      <c r="B684" s="631"/>
      <c r="C684" s="631"/>
      <c r="D684" s="631"/>
      <c r="E684" s="631"/>
      <c r="F684" s="631"/>
      <c r="G684" s="631"/>
      <c r="H684" s="631"/>
    </row>
    <row r="685" spans="1:8" x14ac:dyDescent="0.2">
      <c r="A685" s="631"/>
      <c r="B685" s="631"/>
      <c r="C685" s="631"/>
      <c r="D685" s="631"/>
      <c r="E685" s="631"/>
      <c r="F685" s="631"/>
      <c r="G685" s="631"/>
      <c r="H685" s="631"/>
    </row>
    <row r="686" spans="1:8" x14ac:dyDescent="0.2">
      <c r="A686" s="631"/>
      <c r="B686" s="631"/>
      <c r="C686" s="631"/>
      <c r="D686" s="631"/>
      <c r="E686" s="631"/>
      <c r="F686" s="631"/>
      <c r="G686" s="631"/>
      <c r="H686" s="631"/>
    </row>
    <row r="687" spans="1:8" x14ac:dyDescent="0.2">
      <c r="A687" s="631"/>
      <c r="B687" s="631"/>
      <c r="C687" s="631"/>
      <c r="D687" s="631"/>
      <c r="E687" s="631"/>
      <c r="F687" s="631"/>
      <c r="G687" s="631"/>
      <c r="H687" s="631"/>
    </row>
    <row r="688" spans="1:8" x14ac:dyDescent="0.2">
      <c r="A688" s="631"/>
      <c r="B688" s="631"/>
      <c r="C688" s="631"/>
      <c r="D688" s="631"/>
      <c r="E688" s="631"/>
      <c r="F688" s="631"/>
      <c r="G688" s="631"/>
      <c r="H688" s="631"/>
    </row>
    <row r="689" spans="1:8" x14ac:dyDescent="0.2">
      <c r="A689" s="631"/>
      <c r="B689" s="631"/>
      <c r="C689" s="631"/>
      <c r="D689" s="631"/>
      <c r="E689" s="631"/>
      <c r="F689" s="631"/>
      <c r="G689" s="631"/>
      <c r="H689" s="631"/>
    </row>
    <row r="690" spans="1:8" x14ac:dyDescent="0.2">
      <c r="A690" s="631"/>
      <c r="B690" s="631"/>
      <c r="C690" s="631"/>
      <c r="D690" s="631"/>
      <c r="E690" s="631"/>
      <c r="F690" s="631"/>
      <c r="G690" s="631"/>
      <c r="H690" s="631"/>
    </row>
    <row r="691" spans="1:8" x14ac:dyDescent="0.2">
      <c r="A691" s="631"/>
      <c r="B691" s="631"/>
      <c r="C691" s="631"/>
      <c r="D691" s="631"/>
      <c r="E691" s="631"/>
      <c r="F691" s="631"/>
      <c r="G691" s="631"/>
      <c r="H691" s="631"/>
    </row>
    <row r="692" spans="1:8" x14ac:dyDescent="0.2">
      <c r="A692" s="631"/>
      <c r="B692" s="631"/>
      <c r="C692" s="631"/>
      <c r="D692" s="631"/>
      <c r="E692" s="631"/>
      <c r="F692" s="631"/>
      <c r="G692" s="631"/>
      <c r="H692" s="631"/>
    </row>
    <row r="693" spans="1:8" x14ac:dyDescent="0.2">
      <c r="A693" s="631"/>
      <c r="B693" s="631"/>
      <c r="C693" s="631"/>
      <c r="D693" s="631"/>
      <c r="E693" s="631"/>
      <c r="F693" s="631"/>
      <c r="G693" s="631"/>
      <c r="H693" s="631"/>
    </row>
    <row r="694" spans="1:8" x14ac:dyDescent="0.2">
      <c r="A694" s="631"/>
      <c r="B694" s="631"/>
      <c r="C694" s="631"/>
      <c r="D694" s="631"/>
      <c r="E694" s="631"/>
      <c r="F694" s="631"/>
      <c r="G694" s="631"/>
      <c r="H694" s="631"/>
    </row>
    <row r="695" spans="1:8" x14ac:dyDescent="0.2">
      <c r="A695" s="631"/>
      <c r="B695" s="631"/>
      <c r="C695" s="631"/>
      <c r="D695" s="631"/>
      <c r="E695" s="631"/>
      <c r="F695" s="631"/>
      <c r="G695" s="631"/>
      <c r="H695" s="631"/>
    </row>
    <row r="696" spans="1:8" x14ac:dyDescent="0.2">
      <c r="A696" s="631"/>
      <c r="B696" s="631"/>
      <c r="C696" s="631"/>
      <c r="D696" s="631"/>
      <c r="E696" s="631"/>
      <c r="F696" s="631"/>
      <c r="G696" s="631"/>
      <c r="H696" s="631"/>
    </row>
    <row r="697" spans="1:8" x14ac:dyDescent="0.2">
      <c r="A697" s="631"/>
      <c r="B697" s="631"/>
      <c r="C697" s="631"/>
      <c r="D697" s="631"/>
      <c r="E697" s="631"/>
      <c r="F697" s="631"/>
      <c r="G697" s="631"/>
      <c r="H697" s="631"/>
    </row>
    <row r="698" spans="1:8" x14ac:dyDescent="0.2">
      <c r="A698" s="631"/>
      <c r="B698" s="631"/>
      <c r="C698" s="631"/>
      <c r="D698" s="631"/>
      <c r="E698" s="631"/>
      <c r="F698" s="631"/>
      <c r="G698" s="631"/>
      <c r="H698" s="631"/>
    </row>
    <row r="699" spans="1:8" x14ac:dyDescent="0.2">
      <c r="A699" s="631"/>
      <c r="B699" s="631"/>
      <c r="C699" s="631"/>
      <c r="D699" s="631"/>
      <c r="E699" s="631"/>
      <c r="F699" s="631"/>
      <c r="G699" s="631"/>
      <c r="H699" s="631"/>
    </row>
    <row r="700" spans="1:8" x14ac:dyDescent="0.2">
      <c r="A700" s="631"/>
      <c r="B700" s="631"/>
      <c r="C700" s="631"/>
      <c r="D700" s="631"/>
      <c r="E700" s="631"/>
      <c r="F700" s="631"/>
      <c r="G700" s="631"/>
      <c r="H700" s="631"/>
    </row>
    <row r="701" spans="1:8" x14ac:dyDescent="0.2">
      <c r="A701" s="631"/>
      <c r="B701" s="631"/>
      <c r="C701" s="631"/>
      <c r="D701" s="631"/>
      <c r="E701" s="631"/>
      <c r="F701" s="631"/>
      <c r="G701" s="631"/>
      <c r="H701" s="631"/>
    </row>
    <row r="702" spans="1:8" x14ac:dyDescent="0.2">
      <c r="A702" s="631"/>
      <c r="B702" s="631"/>
      <c r="C702" s="631"/>
      <c r="D702" s="631"/>
      <c r="E702" s="631"/>
      <c r="F702" s="631"/>
      <c r="G702" s="631"/>
      <c r="H702" s="631"/>
    </row>
    <row r="703" spans="1:8" x14ac:dyDescent="0.2">
      <c r="A703" s="631"/>
      <c r="B703" s="631"/>
      <c r="C703" s="631"/>
      <c r="D703" s="631"/>
      <c r="E703" s="631"/>
      <c r="F703" s="631"/>
      <c r="G703" s="631"/>
      <c r="H703" s="631"/>
    </row>
    <row r="704" spans="1:8" x14ac:dyDescent="0.2">
      <c r="A704" s="631"/>
      <c r="B704" s="631"/>
      <c r="C704" s="631"/>
      <c r="D704" s="631"/>
      <c r="E704" s="631"/>
      <c r="F704" s="631"/>
      <c r="G704" s="631"/>
      <c r="H704" s="631"/>
    </row>
    <row r="705" spans="1:8" x14ac:dyDescent="0.2">
      <c r="A705" s="631"/>
      <c r="B705" s="631"/>
      <c r="C705" s="631"/>
      <c r="D705" s="631"/>
      <c r="E705" s="631"/>
      <c r="F705" s="631"/>
      <c r="G705" s="631"/>
      <c r="H705" s="631"/>
    </row>
    <row r="706" spans="1:8" x14ac:dyDescent="0.2">
      <c r="A706" s="631"/>
      <c r="B706" s="631"/>
      <c r="C706" s="631"/>
      <c r="D706" s="631"/>
      <c r="E706" s="631"/>
      <c r="F706" s="631"/>
      <c r="G706" s="631"/>
      <c r="H706" s="631"/>
    </row>
    <row r="707" spans="1:8" x14ac:dyDescent="0.2">
      <c r="A707" s="631"/>
      <c r="B707" s="631"/>
      <c r="C707" s="631"/>
      <c r="D707" s="631"/>
      <c r="E707" s="631"/>
      <c r="F707" s="631"/>
      <c r="G707" s="631"/>
      <c r="H707" s="631"/>
    </row>
    <row r="708" spans="1:8" x14ac:dyDescent="0.2">
      <c r="A708" s="631"/>
      <c r="B708" s="631"/>
      <c r="C708" s="631"/>
      <c r="D708" s="631"/>
      <c r="E708" s="631"/>
      <c r="F708" s="631"/>
      <c r="G708" s="631"/>
      <c r="H708" s="631"/>
    </row>
    <row r="709" spans="1:8" x14ac:dyDescent="0.2">
      <c r="A709" s="631"/>
      <c r="B709" s="631"/>
      <c r="C709" s="631"/>
      <c r="D709" s="631"/>
      <c r="E709" s="631"/>
      <c r="F709" s="631"/>
      <c r="G709" s="631"/>
      <c r="H709" s="631"/>
    </row>
    <row r="710" spans="1:8" x14ac:dyDescent="0.2">
      <c r="A710" s="631"/>
      <c r="B710" s="631"/>
      <c r="C710" s="631"/>
      <c r="D710" s="631"/>
      <c r="E710" s="631"/>
      <c r="F710" s="631"/>
      <c r="G710" s="631"/>
      <c r="H710" s="631"/>
    </row>
    <row r="711" spans="1:8" x14ac:dyDescent="0.2">
      <c r="A711" s="631"/>
      <c r="B711" s="631"/>
      <c r="C711" s="631"/>
      <c r="D711" s="631"/>
      <c r="E711" s="631"/>
      <c r="F711" s="631"/>
      <c r="G711" s="631"/>
      <c r="H711" s="631"/>
    </row>
    <row r="712" spans="1:8" x14ac:dyDescent="0.2">
      <c r="A712" s="631"/>
      <c r="B712" s="631"/>
      <c r="C712" s="631"/>
      <c r="D712" s="631"/>
      <c r="E712" s="631"/>
      <c r="F712" s="631"/>
      <c r="G712" s="631"/>
      <c r="H712" s="631"/>
    </row>
    <row r="713" spans="1:8" x14ac:dyDescent="0.2">
      <c r="A713" s="631"/>
      <c r="B713" s="631"/>
      <c r="C713" s="631"/>
      <c r="D713" s="631"/>
      <c r="E713" s="631"/>
      <c r="F713" s="631"/>
      <c r="G713" s="631"/>
      <c r="H713" s="631"/>
    </row>
    <row r="714" spans="1:8" x14ac:dyDescent="0.2">
      <c r="A714" s="631"/>
      <c r="B714" s="631"/>
      <c r="C714" s="631"/>
      <c r="D714" s="631"/>
      <c r="E714" s="631"/>
      <c r="F714" s="631"/>
      <c r="G714" s="631"/>
      <c r="H714" s="631"/>
    </row>
    <row r="715" spans="1:8" x14ac:dyDescent="0.2">
      <c r="A715" s="631"/>
      <c r="B715" s="631"/>
      <c r="C715" s="631"/>
      <c r="D715" s="631"/>
      <c r="E715" s="631"/>
      <c r="F715" s="631"/>
      <c r="G715" s="631"/>
      <c r="H715" s="631"/>
    </row>
    <row r="716" spans="1:8" x14ac:dyDescent="0.2">
      <c r="A716" s="631"/>
      <c r="B716" s="631"/>
      <c r="C716" s="631"/>
      <c r="D716" s="631"/>
      <c r="E716" s="631"/>
      <c r="F716" s="631"/>
      <c r="G716" s="631"/>
      <c r="H716" s="631"/>
    </row>
    <row r="717" spans="1:8" x14ac:dyDescent="0.2">
      <c r="A717" s="631"/>
      <c r="B717" s="631"/>
      <c r="C717" s="631"/>
      <c r="D717" s="631"/>
      <c r="E717" s="631"/>
      <c r="F717" s="631"/>
      <c r="G717" s="631"/>
      <c r="H717" s="631"/>
    </row>
    <row r="718" spans="1:8" x14ac:dyDescent="0.2">
      <c r="A718" s="631"/>
      <c r="B718" s="631"/>
      <c r="C718" s="631"/>
      <c r="D718" s="631"/>
      <c r="E718" s="631"/>
      <c r="F718" s="631"/>
      <c r="G718" s="631"/>
      <c r="H718" s="631"/>
    </row>
    <row r="719" spans="1:8" x14ac:dyDescent="0.2">
      <c r="A719" s="631"/>
      <c r="B719" s="631"/>
      <c r="C719" s="631"/>
      <c r="D719" s="631"/>
      <c r="E719" s="631"/>
      <c r="F719" s="631"/>
      <c r="G719" s="631"/>
      <c r="H719" s="631"/>
    </row>
    <row r="720" spans="1:8" x14ac:dyDescent="0.2">
      <c r="A720" s="631"/>
      <c r="B720" s="631"/>
      <c r="C720" s="631"/>
      <c r="D720" s="631"/>
      <c r="E720" s="631"/>
      <c r="F720" s="631"/>
      <c r="G720" s="631"/>
      <c r="H720" s="631"/>
    </row>
    <row r="721" spans="1:8" x14ac:dyDescent="0.2">
      <c r="A721" s="631"/>
      <c r="B721" s="631"/>
      <c r="C721" s="631"/>
      <c r="D721" s="631"/>
      <c r="E721" s="631"/>
      <c r="F721" s="631"/>
      <c r="G721" s="631"/>
      <c r="H721" s="631"/>
    </row>
    <row r="722" spans="1:8" x14ac:dyDescent="0.2">
      <c r="A722" s="631"/>
      <c r="B722" s="631"/>
      <c r="C722" s="631"/>
      <c r="D722" s="631"/>
      <c r="E722" s="631"/>
      <c r="F722" s="631"/>
      <c r="G722" s="631"/>
      <c r="H722" s="631"/>
    </row>
    <row r="723" spans="1:8" x14ac:dyDescent="0.2">
      <c r="A723" s="631"/>
      <c r="B723" s="631"/>
      <c r="C723" s="631"/>
      <c r="D723" s="631"/>
      <c r="E723" s="631"/>
      <c r="F723" s="631"/>
      <c r="G723" s="631"/>
      <c r="H723" s="631"/>
    </row>
    <row r="724" spans="1:8" x14ac:dyDescent="0.2">
      <c r="A724" s="631"/>
      <c r="B724" s="631"/>
      <c r="C724" s="631"/>
      <c r="D724" s="631"/>
      <c r="E724" s="631"/>
      <c r="F724" s="631"/>
      <c r="G724" s="631"/>
      <c r="H724" s="631"/>
    </row>
    <row r="725" spans="1:8" x14ac:dyDescent="0.2">
      <c r="A725" s="631"/>
      <c r="B725" s="631"/>
      <c r="C725" s="631"/>
      <c r="D725" s="631"/>
      <c r="E725" s="631"/>
      <c r="F725" s="631"/>
      <c r="G725" s="631"/>
      <c r="H725" s="631"/>
    </row>
    <row r="726" spans="1:8" x14ac:dyDescent="0.2">
      <c r="A726" s="631"/>
      <c r="B726" s="631"/>
      <c r="C726" s="631"/>
      <c r="D726" s="631"/>
      <c r="E726" s="631"/>
      <c r="F726" s="631"/>
      <c r="G726" s="631"/>
      <c r="H726" s="631"/>
    </row>
    <row r="727" spans="1:8" x14ac:dyDescent="0.2">
      <c r="A727" s="631"/>
      <c r="B727" s="631"/>
      <c r="C727" s="631"/>
      <c r="D727" s="631"/>
      <c r="E727" s="631"/>
      <c r="F727" s="631"/>
      <c r="G727" s="631"/>
      <c r="H727" s="631"/>
    </row>
    <row r="728" spans="1:8" x14ac:dyDescent="0.2">
      <c r="A728" s="631"/>
      <c r="B728" s="631"/>
      <c r="C728" s="631"/>
      <c r="D728" s="631"/>
      <c r="E728" s="631"/>
      <c r="F728" s="631"/>
      <c r="G728" s="631"/>
      <c r="H728" s="631"/>
    </row>
    <row r="729" spans="1:8" x14ac:dyDescent="0.2">
      <c r="A729" s="631"/>
      <c r="B729" s="631"/>
      <c r="C729" s="631"/>
      <c r="D729" s="631"/>
      <c r="E729" s="631"/>
      <c r="F729" s="631"/>
      <c r="G729" s="631"/>
      <c r="H729" s="631"/>
    </row>
    <row r="730" spans="1:8" x14ac:dyDescent="0.2">
      <c r="A730" s="631"/>
      <c r="B730" s="631"/>
      <c r="C730" s="631"/>
      <c r="D730" s="631"/>
      <c r="E730" s="631"/>
      <c r="F730" s="631"/>
      <c r="G730" s="631"/>
      <c r="H730" s="631"/>
    </row>
    <row r="731" spans="1:8" x14ac:dyDescent="0.2">
      <c r="A731" s="631"/>
      <c r="B731" s="631"/>
      <c r="C731" s="631"/>
      <c r="D731" s="631"/>
      <c r="E731" s="631"/>
      <c r="F731" s="631"/>
      <c r="G731" s="631"/>
      <c r="H731" s="631"/>
    </row>
    <row r="732" spans="1:8" x14ac:dyDescent="0.2">
      <c r="A732" s="631"/>
      <c r="B732" s="631"/>
      <c r="C732" s="631"/>
      <c r="D732" s="631"/>
      <c r="E732" s="631"/>
      <c r="F732" s="631"/>
      <c r="G732" s="631"/>
      <c r="H732" s="631"/>
    </row>
    <row r="733" spans="1:8" x14ac:dyDescent="0.2">
      <c r="A733" s="631"/>
      <c r="B733" s="631"/>
      <c r="C733" s="631"/>
      <c r="D733" s="631"/>
      <c r="E733" s="631"/>
      <c r="F733" s="631"/>
      <c r="G733" s="631"/>
      <c r="H733" s="631"/>
    </row>
    <row r="734" spans="1:8" x14ac:dyDescent="0.2">
      <c r="A734" s="631"/>
      <c r="B734" s="631"/>
      <c r="C734" s="631"/>
      <c r="D734" s="631"/>
      <c r="E734" s="631"/>
      <c r="F734" s="631"/>
      <c r="G734" s="631"/>
      <c r="H734" s="631"/>
    </row>
    <row r="735" spans="1:8" x14ac:dyDescent="0.2">
      <c r="A735" s="631"/>
      <c r="B735" s="631"/>
      <c r="C735" s="631"/>
      <c r="D735" s="631"/>
      <c r="E735" s="631"/>
      <c r="F735" s="631"/>
      <c r="G735" s="631"/>
      <c r="H735" s="631"/>
    </row>
    <row r="736" spans="1:8" x14ac:dyDescent="0.2">
      <c r="A736" s="631"/>
      <c r="B736" s="631"/>
      <c r="C736" s="631"/>
      <c r="D736" s="631"/>
      <c r="E736" s="631"/>
      <c r="F736" s="631"/>
      <c r="G736" s="631"/>
      <c r="H736" s="631"/>
    </row>
    <row r="737" spans="1:8" x14ac:dyDescent="0.2">
      <c r="A737" s="631"/>
      <c r="B737" s="631"/>
      <c r="C737" s="631"/>
      <c r="D737" s="631"/>
      <c r="E737" s="631"/>
      <c r="F737" s="631"/>
      <c r="G737" s="631"/>
      <c r="H737" s="631"/>
    </row>
    <row r="738" spans="1:8" x14ac:dyDescent="0.2">
      <c r="A738" s="631"/>
      <c r="B738" s="631"/>
      <c r="C738" s="631"/>
      <c r="D738" s="631"/>
      <c r="E738" s="631"/>
      <c r="F738" s="631"/>
      <c r="G738" s="631"/>
      <c r="H738" s="631"/>
    </row>
    <row r="739" spans="1:8" x14ac:dyDescent="0.2">
      <c r="A739" s="631"/>
      <c r="B739" s="631"/>
      <c r="C739" s="631"/>
      <c r="D739" s="631"/>
      <c r="E739" s="631"/>
      <c r="F739" s="631"/>
      <c r="G739" s="631"/>
      <c r="H739" s="631"/>
    </row>
    <row r="740" spans="1:8" x14ac:dyDescent="0.2">
      <c r="A740" s="631"/>
      <c r="B740" s="631"/>
      <c r="C740" s="631"/>
      <c r="D740" s="631"/>
      <c r="E740" s="631"/>
      <c r="F740" s="631"/>
      <c r="G740" s="631"/>
      <c r="H740" s="631"/>
    </row>
    <row r="741" spans="1:8" x14ac:dyDescent="0.2">
      <c r="A741" s="631"/>
      <c r="B741" s="631"/>
      <c r="C741" s="631"/>
      <c r="D741" s="631"/>
      <c r="E741" s="631"/>
      <c r="F741" s="631"/>
      <c r="G741" s="631"/>
      <c r="H741" s="631"/>
    </row>
    <row r="742" spans="1:8" x14ac:dyDescent="0.2">
      <c r="A742" s="631"/>
      <c r="B742" s="631"/>
      <c r="C742" s="631"/>
      <c r="D742" s="631"/>
      <c r="E742" s="631"/>
      <c r="F742" s="631"/>
      <c r="G742" s="631"/>
      <c r="H742" s="631"/>
    </row>
    <row r="743" spans="1:8" x14ac:dyDescent="0.2">
      <c r="A743" s="631"/>
      <c r="B743" s="631"/>
      <c r="C743" s="631"/>
      <c r="D743" s="631"/>
      <c r="E743" s="631"/>
      <c r="F743" s="631"/>
      <c r="G743" s="631"/>
      <c r="H743" s="631"/>
    </row>
    <row r="744" spans="1:8" x14ac:dyDescent="0.2">
      <c r="A744" s="631"/>
      <c r="B744" s="631"/>
      <c r="C744" s="631"/>
      <c r="D744" s="631"/>
      <c r="E744" s="631"/>
      <c r="F744" s="631"/>
      <c r="G744" s="631"/>
      <c r="H744" s="631"/>
    </row>
    <row r="745" spans="1:8" x14ac:dyDescent="0.2">
      <c r="A745" s="631"/>
      <c r="B745" s="631"/>
      <c r="C745" s="631"/>
      <c r="D745" s="631"/>
      <c r="E745" s="631"/>
      <c r="F745" s="631"/>
      <c r="G745" s="631"/>
      <c r="H745" s="631"/>
    </row>
    <row r="746" spans="1:8" x14ac:dyDescent="0.2">
      <c r="A746" s="631"/>
      <c r="B746" s="631"/>
      <c r="C746" s="631"/>
      <c r="D746" s="631"/>
      <c r="E746" s="631"/>
      <c r="F746" s="631"/>
      <c r="G746" s="631"/>
      <c r="H746" s="631"/>
    </row>
    <row r="747" spans="1:8" x14ac:dyDescent="0.2">
      <c r="A747" s="631"/>
      <c r="B747" s="631"/>
      <c r="C747" s="631"/>
      <c r="D747" s="631"/>
      <c r="E747" s="631"/>
      <c r="F747" s="631"/>
      <c r="G747" s="631"/>
      <c r="H747" s="631"/>
    </row>
    <row r="748" spans="1:8" x14ac:dyDescent="0.2">
      <c r="A748" s="631"/>
      <c r="B748" s="631"/>
      <c r="C748" s="631"/>
      <c r="D748" s="631"/>
      <c r="E748" s="631"/>
      <c r="F748" s="631"/>
      <c r="G748" s="631"/>
      <c r="H748" s="631"/>
    </row>
    <row r="749" spans="1:8" x14ac:dyDescent="0.2">
      <c r="A749" s="631"/>
      <c r="B749" s="631"/>
      <c r="C749" s="631"/>
      <c r="D749" s="631"/>
      <c r="E749" s="631"/>
      <c r="F749" s="631"/>
      <c r="G749" s="631"/>
      <c r="H749" s="631"/>
    </row>
    <row r="750" spans="1:8" x14ac:dyDescent="0.2">
      <c r="A750" s="631"/>
      <c r="B750" s="631"/>
      <c r="C750" s="631"/>
      <c r="D750" s="631"/>
      <c r="E750" s="631"/>
      <c r="F750" s="631"/>
      <c r="G750" s="631"/>
      <c r="H750" s="631"/>
    </row>
    <row r="751" spans="1:8" x14ac:dyDescent="0.2">
      <c r="A751" s="631"/>
      <c r="B751" s="631"/>
      <c r="C751" s="631"/>
      <c r="D751" s="631"/>
      <c r="E751" s="631"/>
      <c r="F751" s="631"/>
      <c r="G751" s="631"/>
      <c r="H751" s="631"/>
    </row>
    <row r="752" spans="1:8" x14ac:dyDescent="0.2">
      <c r="A752" s="631"/>
      <c r="B752" s="631"/>
      <c r="C752" s="631"/>
      <c r="D752" s="631"/>
      <c r="E752" s="631"/>
      <c r="F752" s="631"/>
      <c r="G752" s="631"/>
      <c r="H752" s="631"/>
    </row>
    <row r="753" spans="1:8" x14ac:dyDescent="0.2">
      <c r="A753" s="631"/>
      <c r="B753" s="631"/>
      <c r="C753" s="631"/>
      <c r="D753" s="631"/>
      <c r="E753" s="631"/>
      <c r="F753" s="631"/>
      <c r="G753" s="631"/>
      <c r="H753" s="631"/>
    </row>
    <row r="754" spans="1:8" x14ac:dyDescent="0.2">
      <c r="A754" s="631"/>
      <c r="B754" s="631"/>
      <c r="C754" s="631"/>
      <c r="D754" s="631"/>
      <c r="E754" s="631"/>
      <c r="F754" s="631"/>
      <c r="G754" s="631"/>
      <c r="H754" s="631"/>
    </row>
    <row r="755" spans="1:8" x14ac:dyDescent="0.2">
      <c r="A755" s="631"/>
      <c r="B755" s="631"/>
      <c r="C755" s="631"/>
      <c r="D755" s="631"/>
      <c r="E755" s="631"/>
      <c r="F755" s="631"/>
      <c r="G755" s="631"/>
      <c r="H755" s="631"/>
    </row>
    <row r="756" spans="1:8" x14ac:dyDescent="0.2">
      <c r="A756" s="631"/>
      <c r="B756" s="631"/>
      <c r="C756" s="631"/>
      <c r="D756" s="631"/>
      <c r="E756" s="631"/>
      <c r="F756" s="631"/>
      <c r="G756" s="631"/>
      <c r="H756" s="631"/>
    </row>
    <row r="757" spans="1:8" x14ac:dyDescent="0.2">
      <c r="A757" s="631"/>
      <c r="B757" s="631"/>
      <c r="C757" s="631"/>
      <c r="D757" s="631"/>
      <c r="E757" s="631"/>
      <c r="F757" s="631"/>
      <c r="G757" s="631"/>
      <c r="H757" s="631"/>
    </row>
    <row r="758" spans="1:8" x14ac:dyDescent="0.2">
      <c r="A758" s="631"/>
      <c r="B758" s="631"/>
      <c r="C758" s="631"/>
      <c r="D758" s="631"/>
      <c r="E758" s="631"/>
      <c r="F758" s="631"/>
      <c r="G758" s="631"/>
      <c r="H758" s="631"/>
    </row>
    <row r="759" spans="1:8" x14ac:dyDescent="0.2">
      <c r="A759" s="631"/>
      <c r="B759" s="631"/>
      <c r="C759" s="631"/>
      <c r="D759" s="631"/>
      <c r="E759" s="631"/>
      <c r="F759" s="631"/>
      <c r="G759" s="631"/>
      <c r="H759" s="631"/>
    </row>
    <row r="760" spans="1:8" x14ac:dyDescent="0.2">
      <c r="A760" s="631"/>
      <c r="B760" s="631"/>
      <c r="C760" s="631"/>
      <c r="D760" s="631"/>
      <c r="E760" s="631"/>
      <c r="F760" s="631"/>
      <c r="G760" s="631"/>
      <c r="H760" s="631"/>
    </row>
    <row r="761" spans="1:8" x14ac:dyDescent="0.2">
      <c r="A761" s="631"/>
      <c r="B761" s="631"/>
      <c r="C761" s="631"/>
      <c r="D761" s="631"/>
      <c r="E761" s="631"/>
      <c r="F761" s="631"/>
      <c r="G761" s="631"/>
      <c r="H761" s="631"/>
    </row>
    <row r="762" spans="1:8" x14ac:dyDescent="0.2">
      <c r="A762" s="631"/>
      <c r="B762" s="631"/>
      <c r="C762" s="631"/>
      <c r="D762" s="631"/>
      <c r="E762" s="631"/>
      <c r="F762" s="631"/>
      <c r="G762" s="631"/>
      <c r="H762" s="631"/>
    </row>
    <row r="763" spans="1:8" x14ac:dyDescent="0.2">
      <c r="A763" s="631"/>
      <c r="B763" s="631"/>
      <c r="C763" s="631"/>
      <c r="D763" s="631"/>
      <c r="E763" s="631"/>
      <c r="F763" s="631"/>
      <c r="G763" s="631"/>
      <c r="H763" s="631"/>
    </row>
    <row r="764" spans="1:8" x14ac:dyDescent="0.2">
      <c r="A764" s="631"/>
      <c r="B764" s="631"/>
      <c r="C764" s="631"/>
      <c r="D764" s="631"/>
      <c r="E764" s="631"/>
      <c r="F764" s="631"/>
      <c r="G764" s="631"/>
      <c r="H764" s="631"/>
    </row>
    <row r="765" spans="1:8" x14ac:dyDescent="0.2">
      <c r="A765" s="631"/>
      <c r="B765" s="631"/>
      <c r="C765" s="631"/>
      <c r="D765" s="631"/>
      <c r="E765" s="631"/>
      <c r="F765" s="631"/>
      <c r="G765" s="631"/>
      <c r="H765" s="631"/>
    </row>
    <row r="766" spans="1:8" x14ac:dyDescent="0.2">
      <c r="A766" s="631"/>
      <c r="B766" s="631"/>
      <c r="C766" s="631"/>
      <c r="D766" s="631"/>
      <c r="E766" s="631"/>
      <c r="F766" s="631"/>
      <c r="G766" s="631"/>
      <c r="H766" s="631"/>
    </row>
    <row r="767" spans="1:8" x14ac:dyDescent="0.2">
      <c r="A767" s="631"/>
      <c r="B767" s="631"/>
      <c r="C767" s="631"/>
      <c r="D767" s="631"/>
      <c r="E767" s="631"/>
      <c r="F767" s="631"/>
      <c r="G767" s="631"/>
      <c r="H767" s="631"/>
    </row>
    <row r="768" spans="1:8" x14ac:dyDescent="0.2">
      <c r="A768" s="631"/>
      <c r="B768" s="631"/>
      <c r="C768" s="631"/>
      <c r="D768" s="631"/>
      <c r="E768" s="631"/>
      <c r="F768" s="631"/>
      <c r="G768" s="631"/>
      <c r="H768" s="631"/>
    </row>
    <row r="769" spans="1:8" x14ac:dyDescent="0.2">
      <c r="A769" s="631"/>
      <c r="B769" s="631"/>
      <c r="C769" s="631"/>
      <c r="D769" s="631"/>
      <c r="E769" s="631"/>
      <c r="F769" s="631"/>
      <c r="G769" s="631"/>
      <c r="H769" s="631"/>
    </row>
    <row r="770" spans="1:8" x14ac:dyDescent="0.2">
      <c r="A770" s="631"/>
      <c r="B770" s="631"/>
      <c r="C770" s="631"/>
      <c r="D770" s="631"/>
      <c r="E770" s="631"/>
      <c r="F770" s="631"/>
      <c r="G770" s="631"/>
      <c r="H770" s="631"/>
    </row>
    <row r="771" spans="1:8" x14ac:dyDescent="0.2">
      <c r="A771" s="631"/>
      <c r="B771" s="631"/>
      <c r="C771" s="631"/>
      <c r="D771" s="631"/>
      <c r="E771" s="631"/>
      <c r="F771" s="631"/>
      <c r="G771" s="631"/>
      <c r="H771" s="631"/>
    </row>
    <row r="772" spans="1:8" x14ac:dyDescent="0.2">
      <c r="A772" s="631"/>
      <c r="B772" s="631"/>
      <c r="C772" s="631"/>
      <c r="D772" s="631"/>
      <c r="E772" s="631"/>
      <c r="F772" s="631"/>
      <c r="G772" s="631"/>
      <c r="H772" s="631"/>
    </row>
    <row r="773" spans="1:8" x14ac:dyDescent="0.2">
      <c r="A773" s="631"/>
      <c r="B773" s="631"/>
      <c r="C773" s="631"/>
      <c r="D773" s="631"/>
      <c r="E773" s="631"/>
      <c r="F773" s="631"/>
      <c r="G773" s="631"/>
      <c r="H773" s="631"/>
    </row>
    <row r="774" spans="1:8" x14ac:dyDescent="0.2">
      <c r="A774" s="631"/>
      <c r="B774" s="631"/>
      <c r="C774" s="631"/>
      <c r="D774" s="631"/>
      <c r="E774" s="631"/>
      <c r="F774" s="631"/>
      <c r="G774" s="631"/>
      <c r="H774" s="631"/>
    </row>
    <row r="775" spans="1:8" x14ac:dyDescent="0.2">
      <c r="A775" s="631"/>
      <c r="B775" s="631"/>
      <c r="C775" s="631"/>
      <c r="D775" s="631"/>
      <c r="E775" s="631"/>
      <c r="F775" s="631"/>
      <c r="G775" s="631"/>
      <c r="H775" s="631"/>
    </row>
    <row r="776" spans="1:8" x14ac:dyDescent="0.2">
      <c r="A776" s="631"/>
      <c r="B776" s="631"/>
      <c r="C776" s="631"/>
      <c r="D776" s="631"/>
      <c r="E776" s="631"/>
      <c r="F776" s="631"/>
      <c r="G776" s="631"/>
      <c r="H776" s="631"/>
    </row>
    <row r="777" spans="1:8" x14ac:dyDescent="0.2">
      <c r="A777" s="631"/>
      <c r="B777" s="631"/>
      <c r="C777" s="631"/>
      <c r="D777" s="631"/>
      <c r="E777" s="631"/>
      <c r="F777" s="631"/>
      <c r="G777" s="631"/>
      <c r="H777" s="631"/>
    </row>
    <row r="778" spans="1:8" x14ac:dyDescent="0.2">
      <c r="A778" s="631"/>
      <c r="B778" s="631"/>
      <c r="C778" s="631"/>
      <c r="D778" s="631"/>
      <c r="E778" s="631"/>
      <c r="F778" s="631"/>
      <c r="G778" s="631"/>
      <c r="H778" s="631"/>
    </row>
    <row r="779" spans="1:8" x14ac:dyDescent="0.2">
      <c r="A779" s="631"/>
      <c r="B779" s="631"/>
      <c r="C779" s="631"/>
      <c r="D779" s="631"/>
      <c r="E779" s="631"/>
      <c r="F779" s="631"/>
      <c r="G779" s="631"/>
      <c r="H779" s="631"/>
    </row>
    <row r="780" spans="1:8" x14ac:dyDescent="0.2">
      <c r="A780" s="631"/>
      <c r="B780" s="631"/>
      <c r="C780" s="631"/>
      <c r="D780" s="631"/>
      <c r="E780" s="631"/>
      <c r="F780" s="631"/>
      <c r="G780" s="631"/>
      <c r="H780" s="631"/>
    </row>
    <row r="781" spans="1:8" x14ac:dyDescent="0.2">
      <c r="A781" s="631"/>
      <c r="B781" s="631"/>
      <c r="C781" s="631"/>
      <c r="D781" s="631"/>
      <c r="E781" s="631"/>
      <c r="F781" s="631"/>
      <c r="G781" s="631"/>
      <c r="H781" s="631"/>
    </row>
    <row r="782" spans="1:8" x14ac:dyDescent="0.2">
      <c r="A782" s="631"/>
      <c r="B782" s="631"/>
      <c r="C782" s="631"/>
      <c r="D782" s="631"/>
      <c r="E782" s="631"/>
      <c r="F782" s="631"/>
      <c r="G782" s="631"/>
      <c r="H782" s="631"/>
    </row>
    <row r="783" spans="1:8" x14ac:dyDescent="0.2">
      <c r="A783" s="631"/>
      <c r="B783" s="631"/>
      <c r="C783" s="631"/>
      <c r="D783" s="631"/>
      <c r="E783" s="631"/>
      <c r="F783" s="631"/>
      <c r="G783" s="631"/>
      <c r="H783" s="631"/>
    </row>
    <row r="784" spans="1:8" x14ac:dyDescent="0.2">
      <c r="A784" s="631"/>
      <c r="B784" s="631"/>
      <c r="C784" s="631"/>
      <c r="D784" s="631"/>
      <c r="E784" s="631"/>
      <c r="F784" s="631"/>
      <c r="G784" s="631"/>
      <c r="H784" s="631"/>
    </row>
    <row r="785" spans="1:8" x14ac:dyDescent="0.2">
      <c r="A785" s="631"/>
      <c r="B785" s="631"/>
      <c r="C785" s="631"/>
      <c r="D785" s="631"/>
      <c r="E785" s="631"/>
      <c r="F785" s="631"/>
      <c r="G785" s="631"/>
      <c r="H785" s="631"/>
    </row>
    <row r="786" spans="1:8" x14ac:dyDescent="0.2">
      <c r="A786" s="631"/>
      <c r="B786" s="631"/>
      <c r="C786" s="631"/>
      <c r="D786" s="631"/>
      <c r="E786" s="631"/>
      <c r="F786" s="631"/>
      <c r="G786" s="631"/>
      <c r="H786" s="631"/>
    </row>
    <row r="787" spans="1:8" x14ac:dyDescent="0.2">
      <c r="A787" s="631"/>
      <c r="B787" s="631"/>
      <c r="C787" s="631"/>
      <c r="D787" s="631"/>
      <c r="E787" s="631"/>
      <c r="F787" s="631"/>
      <c r="G787" s="631"/>
      <c r="H787" s="631"/>
    </row>
    <row r="788" spans="1:8" x14ac:dyDescent="0.2">
      <c r="A788" s="631"/>
      <c r="B788" s="631"/>
      <c r="C788" s="631"/>
      <c r="D788" s="631"/>
      <c r="E788" s="631"/>
      <c r="F788" s="631"/>
      <c r="G788" s="631"/>
      <c r="H788" s="631"/>
    </row>
    <row r="789" spans="1:8" x14ac:dyDescent="0.2">
      <c r="A789" s="631"/>
      <c r="B789" s="631"/>
      <c r="C789" s="631"/>
      <c r="D789" s="631"/>
      <c r="E789" s="631"/>
      <c r="F789" s="631"/>
      <c r="G789" s="631"/>
      <c r="H789" s="631"/>
    </row>
    <row r="790" spans="1:8" x14ac:dyDescent="0.2">
      <c r="A790" s="631"/>
      <c r="B790" s="631"/>
      <c r="C790" s="631"/>
      <c r="D790" s="631"/>
      <c r="E790" s="631"/>
      <c r="F790" s="631"/>
      <c r="G790" s="631"/>
      <c r="H790" s="631"/>
    </row>
    <row r="791" spans="1:8" x14ac:dyDescent="0.2">
      <c r="A791" s="631"/>
      <c r="B791" s="631"/>
      <c r="C791" s="631"/>
      <c r="D791" s="631"/>
      <c r="E791" s="631"/>
      <c r="F791" s="631"/>
      <c r="G791" s="631"/>
      <c r="H791" s="631"/>
    </row>
    <row r="792" spans="1:8" x14ac:dyDescent="0.2">
      <c r="A792" s="631"/>
      <c r="B792" s="631"/>
      <c r="C792" s="631"/>
      <c r="D792" s="631"/>
      <c r="E792" s="631"/>
      <c r="F792" s="631"/>
      <c r="G792" s="631"/>
      <c r="H792" s="631"/>
    </row>
    <row r="793" spans="1:8" x14ac:dyDescent="0.2">
      <c r="A793" s="631"/>
      <c r="B793" s="631"/>
      <c r="C793" s="631"/>
      <c r="D793" s="631"/>
      <c r="E793" s="631"/>
      <c r="F793" s="631"/>
      <c r="G793" s="631"/>
      <c r="H793" s="631"/>
    </row>
    <row r="794" spans="1:8" x14ac:dyDescent="0.2">
      <c r="A794" s="631"/>
      <c r="B794" s="631"/>
      <c r="C794" s="631"/>
      <c r="D794" s="631"/>
      <c r="E794" s="631"/>
      <c r="F794" s="631"/>
      <c r="G794" s="631"/>
      <c r="H794" s="631"/>
    </row>
    <row r="795" spans="1:8" x14ac:dyDescent="0.2">
      <c r="A795" s="631"/>
      <c r="B795" s="631"/>
      <c r="C795" s="631"/>
      <c r="D795" s="631"/>
      <c r="E795" s="631"/>
      <c r="F795" s="631"/>
      <c r="G795" s="631"/>
      <c r="H795" s="631"/>
    </row>
    <row r="796" spans="1:8" x14ac:dyDescent="0.2">
      <c r="A796" s="631"/>
      <c r="B796" s="631"/>
      <c r="C796" s="631"/>
      <c r="D796" s="631"/>
      <c r="E796" s="631"/>
      <c r="F796" s="631"/>
      <c r="G796" s="631"/>
      <c r="H796" s="631"/>
    </row>
    <row r="797" spans="1:8" x14ac:dyDescent="0.2">
      <c r="A797" s="631"/>
      <c r="B797" s="631"/>
      <c r="C797" s="631"/>
      <c r="D797" s="631"/>
      <c r="E797" s="631"/>
      <c r="F797" s="631"/>
      <c r="G797" s="631"/>
      <c r="H797" s="631"/>
    </row>
    <row r="798" spans="1:8" x14ac:dyDescent="0.2">
      <c r="A798" s="631"/>
      <c r="B798" s="631"/>
      <c r="C798" s="631"/>
      <c r="D798" s="631"/>
      <c r="E798" s="631"/>
      <c r="F798" s="631"/>
      <c r="G798" s="631"/>
      <c r="H798" s="631"/>
    </row>
    <row r="799" spans="1:8" x14ac:dyDescent="0.2">
      <c r="A799" s="631"/>
      <c r="B799" s="631"/>
      <c r="C799" s="631"/>
      <c r="D799" s="631"/>
      <c r="E799" s="631"/>
      <c r="F799" s="631"/>
      <c r="G799" s="631"/>
      <c r="H799" s="631"/>
    </row>
    <row r="800" spans="1:8" x14ac:dyDescent="0.2">
      <c r="A800" s="631"/>
      <c r="B800" s="631"/>
      <c r="C800" s="631"/>
      <c r="D800" s="631"/>
      <c r="E800" s="631"/>
      <c r="F800" s="631"/>
      <c r="G800" s="631"/>
      <c r="H800" s="631"/>
    </row>
    <row r="801" spans="1:8" x14ac:dyDescent="0.2">
      <c r="A801" s="631"/>
      <c r="B801" s="631"/>
      <c r="C801" s="631"/>
      <c r="D801" s="631"/>
      <c r="E801" s="631"/>
      <c r="F801" s="631"/>
      <c r="G801" s="631"/>
      <c r="H801" s="631"/>
    </row>
    <row r="802" spans="1:8" x14ac:dyDescent="0.2">
      <c r="A802" s="631"/>
      <c r="B802" s="631"/>
      <c r="C802" s="631"/>
      <c r="D802" s="631"/>
      <c r="E802" s="631"/>
      <c r="F802" s="631"/>
      <c r="G802" s="631"/>
      <c r="H802" s="631"/>
    </row>
    <row r="803" spans="1:8" x14ac:dyDescent="0.2">
      <c r="A803" s="631"/>
      <c r="B803" s="631"/>
      <c r="C803" s="631"/>
      <c r="D803" s="631"/>
      <c r="E803" s="631"/>
      <c r="F803" s="631"/>
      <c r="G803" s="631"/>
      <c r="H803" s="631"/>
    </row>
    <row r="804" spans="1:8" x14ac:dyDescent="0.2">
      <c r="A804" s="631"/>
      <c r="B804" s="631"/>
      <c r="C804" s="631"/>
      <c r="D804" s="631"/>
      <c r="E804" s="631"/>
      <c r="F804" s="631"/>
      <c r="G804" s="631"/>
      <c r="H804" s="631"/>
    </row>
    <row r="805" spans="1:8" x14ac:dyDescent="0.2">
      <c r="A805" s="631"/>
      <c r="B805" s="631"/>
      <c r="C805" s="631"/>
      <c r="D805" s="631"/>
      <c r="E805" s="631"/>
      <c r="F805" s="631"/>
      <c r="G805" s="631"/>
      <c r="H805" s="631"/>
    </row>
    <row r="806" spans="1:8" x14ac:dyDescent="0.2">
      <c r="A806" s="631"/>
      <c r="B806" s="631"/>
      <c r="C806" s="631"/>
      <c r="D806" s="631"/>
      <c r="E806" s="631"/>
      <c r="F806" s="631"/>
      <c r="G806" s="631"/>
      <c r="H806" s="631"/>
    </row>
    <row r="807" spans="1:8" x14ac:dyDescent="0.2">
      <c r="A807" s="631"/>
      <c r="B807" s="631"/>
      <c r="C807" s="631"/>
      <c r="D807" s="631"/>
      <c r="E807" s="631"/>
      <c r="F807" s="631"/>
      <c r="G807" s="631"/>
      <c r="H807" s="631"/>
    </row>
    <row r="808" spans="1:8" x14ac:dyDescent="0.2">
      <c r="A808" s="631"/>
      <c r="B808" s="631"/>
      <c r="C808" s="631"/>
      <c r="D808" s="631"/>
      <c r="E808" s="631"/>
      <c r="F808" s="631"/>
      <c r="G808" s="631"/>
      <c r="H808" s="631"/>
    </row>
    <row r="809" spans="1:8" x14ac:dyDescent="0.2">
      <c r="A809" s="631"/>
      <c r="B809" s="631"/>
      <c r="C809" s="631"/>
      <c r="D809" s="631"/>
      <c r="E809" s="631"/>
      <c r="F809" s="631"/>
      <c r="G809" s="631"/>
      <c r="H809" s="631"/>
    </row>
    <row r="810" spans="1:8" x14ac:dyDescent="0.2">
      <c r="A810" s="631"/>
      <c r="B810" s="631"/>
      <c r="C810" s="631"/>
      <c r="D810" s="631"/>
      <c r="E810" s="631"/>
      <c r="F810" s="631"/>
      <c r="G810" s="631"/>
      <c r="H810" s="631"/>
    </row>
    <row r="811" spans="1:8" x14ac:dyDescent="0.2">
      <c r="A811" s="631"/>
      <c r="B811" s="631"/>
      <c r="C811" s="631"/>
      <c r="D811" s="631"/>
      <c r="E811" s="631"/>
      <c r="F811" s="631"/>
      <c r="G811" s="631"/>
      <c r="H811" s="631"/>
    </row>
    <row r="812" spans="1:8" x14ac:dyDescent="0.2">
      <c r="A812" s="631"/>
      <c r="B812" s="631"/>
      <c r="C812" s="631"/>
      <c r="D812" s="631"/>
      <c r="E812" s="631"/>
      <c r="F812" s="631"/>
      <c r="G812" s="631"/>
      <c r="H812" s="631"/>
    </row>
    <row r="813" spans="1:8" x14ac:dyDescent="0.2">
      <c r="A813" s="631"/>
      <c r="B813" s="631"/>
      <c r="C813" s="631"/>
      <c r="D813" s="631"/>
      <c r="E813" s="631"/>
      <c r="F813" s="631"/>
      <c r="G813" s="631"/>
      <c r="H813" s="631"/>
    </row>
    <row r="814" spans="1:8" x14ac:dyDescent="0.2">
      <c r="A814" s="631"/>
      <c r="B814" s="631"/>
      <c r="C814" s="631"/>
      <c r="D814" s="631"/>
      <c r="E814" s="631"/>
      <c r="F814" s="631"/>
      <c r="G814" s="631"/>
      <c r="H814" s="631"/>
    </row>
    <row r="815" spans="1:8" x14ac:dyDescent="0.2">
      <c r="A815" s="631"/>
      <c r="B815" s="631"/>
      <c r="C815" s="631"/>
      <c r="D815" s="631"/>
      <c r="E815" s="631"/>
      <c r="F815" s="631"/>
      <c r="G815" s="631"/>
      <c r="H815" s="631"/>
    </row>
    <row r="816" spans="1:8" x14ac:dyDescent="0.2">
      <c r="A816" s="631"/>
      <c r="B816" s="631"/>
      <c r="C816" s="631"/>
      <c r="D816" s="631"/>
      <c r="E816" s="631"/>
      <c r="F816" s="631"/>
      <c r="G816" s="631"/>
      <c r="H816" s="631"/>
    </row>
    <row r="817" spans="1:8" x14ac:dyDescent="0.2">
      <c r="A817" s="631"/>
      <c r="B817" s="631"/>
      <c r="C817" s="631"/>
      <c r="D817" s="631"/>
      <c r="E817" s="631"/>
      <c r="F817" s="631"/>
      <c r="G817" s="631"/>
      <c r="H817" s="631"/>
    </row>
    <row r="818" spans="1:8" x14ac:dyDescent="0.2">
      <c r="A818" s="631"/>
      <c r="B818" s="631"/>
      <c r="C818" s="631"/>
      <c r="D818" s="631"/>
      <c r="E818" s="631"/>
      <c r="F818" s="631"/>
      <c r="G818" s="631"/>
      <c r="H818" s="631"/>
    </row>
    <row r="819" spans="1:8" x14ac:dyDescent="0.2">
      <c r="A819" s="631"/>
      <c r="B819" s="631"/>
      <c r="C819" s="631"/>
      <c r="D819" s="631"/>
      <c r="E819" s="631"/>
      <c r="F819" s="631"/>
      <c r="G819" s="631"/>
      <c r="H819" s="631"/>
    </row>
    <row r="820" spans="1:8" x14ac:dyDescent="0.2">
      <c r="A820" s="631"/>
      <c r="B820" s="631"/>
      <c r="C820" s="631"/>
      <c r="D820" s="631"/>
      <c r="E820" s="631"/>
      <c r="F820" s="631"/>
      <c r="G820" s="631"/>
      <c r="H820" s="631"/>
    </row>
    <row r="821" spans="1:8" x14ac:dyDescent="0.2">
      <c r="A821" s="631"/>
      <c r="B821" s="631"/>
      <c r="C821" s="631"/>
      <c r="D821" s="631"/>
      <c r="E821" s="631"/>
      <c r="F821" s="631"/>
      <c r="G821" s="631"/>
      <c r="H821" s="631"/>
    </row>
    <row r="822" spans="1:8" x14ac:dyDescent="0.2">
      <c r="A822" s="631"/>
      <c r="B822" s="631"/>
      <c r="C822" s="631"/>
      <c r="D822" s="631"/>
      <c r="E822" s="631"/>
      <c r="F822" s="631"/>
      <c r="G822" s="631"/>
      <c r="H822" s="631"/>
    </row>
    <row r="823" spans="1:8" x14ac:dyDescent="0.2">
      <c r="A823" s="631"/>
      <c r="B823" s="631"/>
      <c r="C823" s="631"/>
      <c r="D823" s="631"/>
      <c r="E823" s="631"/>
      <c r="F823" s="631"/>
      <c r="G823" s="631"/>
      <c r="H823" s="631"/>
    </row>
    <row r="824" spans="1:8" x14ac:dyDescent="0.2">
      <c r="A824" s="631"/>
      <c r="B824" s="631"/>
      <c r="C824" s="631"/>
      <c r="D824" s="631"/>
      <c r="E824" s="631"/>
      <c r="F824" s="631"/>
      <c r="G824" s="631"/>
      <c r="H824" s="631"/>
    </row>
    <row r="825" spans="1:8" x14ac:dyDescent="0.2">
      <c r="A825" s="631"/>
      <c r="B825" s="631"/>
      <c r="C825" s="631"/>
      <c r="D825" s="631"/>
      <c r="E825" s="631"/>
      <c r="F825" s="631"/>
      <c r="G825" s="631"/>
      <c r="H825" s="631"/>
    </row>
    <row r="826" spans="1:8" x14ac:dyDescent="0.2">
      <c r="A826" s="631"/>
      <c r="B826" s="631"/>
      <c r="C826" s="631"/>
      <c r="D826" s="631"/>
      <c r="E826" s="631"/>
      <c r="F826" s="631"/>
      <c r="G826" s="631"/>
      <c r="H826" s="631"/>
    </row>
    <row r="827" spans="1:8" x14ac:dyDescent="0.2">
      <c r="A827" s="631"/>
      <c r="B827" s="631"/>
      <c r="C827" s="631"/>
      <c r="D827" s="631"/>
      <c r="E827" s="631"/>
      <c r="F827" s="631"/>
      <c r="G827" s="631"/>
      <c r="H827" s="631"/>
    </row>
    <row r="828" spans="1:8" x14ac:dyDescent="0.2">
      <c r="A828" s="631"/>
      <c r="B828" s="631"/>
      <c r="C828" s="631"/>
      <c r="D828" s="631"/>
      <c r="E828" s="631"/>
      <c r="F828" s="631"/>
      <c r="G828" s="631"/>
      <c r="H828" s="631"/>
    </row>
    <row r="829" spans="1:8" x14ac:dyDescent="0.2">
      <c r="A829" s="631"/>
      <c r="B829" s="631"/>
      <c r="C829" s="631"/>
      <c r="D829" s="631"/>
      <c r="E829" s="631"/>
      <c r="F829" s="631"/>
      <c r="G829" s="631"/>
      <c r="H829" s="631"/>
    </row>
    <row r="830" spans="1:8" x14ac:dyDescent="0.2">
      <c r="A830" s="631"/>
      <c r="B830" s="631"/>
      <c r="C830" s="631"/>
      <c r="D830" s="631"/>
      <c r="E830" s="631"/>
      <c r="F830" s="631"/>
      <c r="G830" s="631"/>
      <c r="H830" s="631"/>
    </row>
    <row r="831" spans="1:8" x14ac:dyDescent="0.2">
      <c r="A831" s="631"/>
      <c r="B831" s="631"/>
      <c r="C831" s="631"/>
      <c r="D831" s="631"/>
      <c r="E831" s="631"/>
      <c r="F831" s="631"/>
      <c r="G831" s="631"/>
      <c r="H831" s="631"/>
    </row>
    <row r="832" spans="1:8" x14ac:dyDescent="0.2">
      <c r="A832" s="631"/>
      <c r="B832" s="631"/>
      <c r="C832" s="631"/>
      <c r="D832" s="631"/>
      <c r="E832" s="631"/>
      <c r="F832" s="631"/>
      <c r="G832" s="631"/>
      <c r="H832" s="631"/>
    </row>
    <row r="833" spans="1:8" x14ac:dyDescent="0.2">
      <c r="A833" s="631"/>
      <c r="B833" s="631"/>
      <c r="C833" s="631"/>
      <c r="D833" s="631"/>
      <c r="E833" s="631"/>
      <c r="F833" s="631"/>
      <c r="G833" s="631"/>
      <c r="H833" s="631"/>
    </row>
    <row r="834" spans="1:8" x14ac:dyDescent="0.2">
      <c r="A834" s="631"/>
      <c r="B834" s="631"/>
      <c r="C834" s="631"/>
      <c r="D834" s="631"/>
      <c r="E834" s="631"/>
      <c r="F834" s="631"/>
      <c r="G834" s="631"/>
      <c r="H834" s="631"/>
    </row>
    <row r="835" spans="1:8" x14ac:dyDescent="0.2">
      <c r="A835" s="631"/>
      <c r="B835" s="631"/>
      <c r="C835" s="631"/>
      <c r="D835" s="631"/>
      <c r="E835" s="631"/>
      <c r="F835" s="631"/>
      <c r="G835" s="631"/>
      <c r="H835" s="631"/>
    </row>
    <row r="836" spans="1:8" x14ac:dyDescent="0.2">
      <c r="A836" s="631"/>
      <c r="B836" s="631"/>
      <c r="C836" s="631"/>
      <c r="D836" s="631"/>
      <c r="E836" s="631"/>
      <c r="F836" s="631"/>
      <c r="G836" s="631"/>
      <c r="H836" s="631"/>
    </row>
    <row r="837" spans="1:8" x14ac:dyDescent="0.2">
      <c r="A837" s="631"/>
      <c r="B837" s="631"/>
      <c r="C837" s="631"/>
      <c r="D837" s="631"/>
      <c r="E837" s="631"/>
      <c r="F837" s="631"/>
      <c r="G837" s="631"/>
      <c r="H837" s="631"/>
    </row>
    <row r="838" spans="1:8" x14ac:dyDescent="0.2">
      <c r="A838" s="631"/>
      <c r="B838" s="631"/>
      <c r="C838" s="631"/>
      <c r="D838" s="631"/>
      <c r="E838" s="631"/>
      <c r="F838" s="631"/>
      <c r="G838" s="631"/>
      <c r="H838" s="631"/>
    </row>
    <row r="839" spans="1:8" x14ac:dyDescent="0.2">
      <c r="A839" s="631"/>
      <c r="B839" s="631"/>
      <c r="C839" s="631"/>
      <c r="D839" s="631"/>
      <c r="E839" s="631"/>
      <c r="F839" s="631"/>
      <c r="G839" s="631"/>
      <c r="H839" s="631"/>
    </row>
    <row r="840" spans="1:8" x14ac:dyDescent="0.2">
      <c r="A840" s="631"/>
      <c r="B840" s="631"/>
      <c r="C840" s="631"/>
      <c r="D840" s="631"/>
      <c r="E840" s="631"/>
      <c r="F840" s="631"/>
      <c r="G840" s="631"/>
      <c r="H840" s="631"/>
    </row>
    <row r="841" spans="1:8" x14ac:dyDescent="0.2">
      <c r="A841" s="631"/>
      <c r="B841" s="631"/>
      <c r="C841" s="631"/>
      <c r="D841" s="631"/>
      <c r="E841" s="631"/>
      <c r="F841" s="631"/>
      <c r="G841" s="631"/>
      <c r="H841" s="631"/>
    </row>
    <row r="842" spans="1:8" x14ac:dyDescent="0.2">
      <c r="A842" s="631"/>
      <c r="B842" s="631"/>
      <c r="C842" s="631"/>
      <c r="D842" s="631"/>
      <c r="E842" s="631"/>
      <c r="F842" s="631"/>
      <c r="G842" s="631"/>
      <c r="H842" s="631"/>
    </row>
    <row r="843" spans="1:8" x14ac:dyDescent="0.2">
      <c r="A843" s="631"/>
      <c r="B843" s="631"/>
      <c r="C843" s="631"/>
      <c r="D843" s="631"/>
      <c r="E843" s="631"/>
      <c r="F843" s="631"/>
      <c r="G843" s="631"/>
      <c r="H843" s="631"/>
    </row>
    <row r="844" spans="1:8" x14ac:dyDescent="0.2">
      <c r="A844" s="631"/>
      <c r="B844" s="631"/>
      <c r="C844" s="631"/>
      <c r="D844" s="631"/>
      <c r="E844" s="631"/>
      <c r="F844" s="631"/>
      <c r="G844" s="631"/>
      <c r="H844" s="631"/>
    </row>
    <row r="845" spans="1:8" x14ac:dyDescent="0.2">
      <c r="A845" s="631"/>
      <c r="B845" s="631"/>
      <c r="C845" s="631"/>
      <c r="D845" s="631"/>
      <c r="E845" s="631"/>
      <c r="F845" s="631"/>
      <c r="G845" s="631"/>
      <c r="H845" s="631"/>
    </row>
    <row r="846" spans="1:8" x14ac:dyDescent="0.2">
      <c r="A846" s="631"/>
      <c r="B846" s="631"/>
      <c r="C846" s="631"/>
      <c r="D846" s="631"/>
      <c r="E846" s="631"/>
      <c r="F846" s="631"/>
      <c r="G846" s="631"/>
      <c r="H846" s="631"/>
    </row>
    <row r="847" spans="1:8" x14ac:dyDescent="0.2">
      <c r="A847" s="631"/>
      <c r="B847" s="631"/>
      <c r="C847" s="631"/>
      <c r="D847" s="631"/>
      <c r="E847" s="631"/>
      <c r="F847" s="631"/>
      <c r="G847" s="631"/>
      <c r="H847" s="631"/>
    </row>
    <row r="848" spans="1:8" x14ac:dyDescent="0.2">
      <c r="A848" s="631"/>
      <c r="B848" s="631"/>
      <c r="C848" s="631"/>
      <c r="D848" s="631"/>
      <c r="E848" s="631"/>
      <c r="F848" s="631"/>
      <c r="G848" s="631"/>
      <c r="H848" s="631"/>
    </row>
    <row r="849" spans="1:8" x14ac:dyDescent="0.2">
      <c r="A849" s="631"/>
      <c r="B849" s="631"/>
      <c r="C849" s="631"/>
      <c r="D849" s="631"/>
      <c r="E849" s="631"/>
      <c r="F849" s="631"/>
      <c r="G849" s="631"/>
      <c r="H849" s="631"/>
    </row>
    <row r="850" spans="1:8" x14ac:dyDescent="0.2">
      <c r="A850" s="631"/>
      <c r="B850" s="631"/>
      <c r="C850" s="631"/>
      <c r="D850" s="631"/>
      <c r="E850" s="631"/>
      <c r="F850" s="631"/>
      <c r="G850" s="631"/>
      <c r="H850" s="631"/>
    </row>
    <row r="851" spans="1:8" x14ac:dyDescent="0.2">
      <c r="A851" s="631"/>
      <c r="B851" s="631"/>
      <c r="C851" s="631"/>
      <c r="D851" s="631"/>
      <c r="E851" s="631"/>
      <c r="F851" s="631"/>
      <c r="G851" s="631"/>
      <c r="H851" s="631"/>
    </row>
    <row r="852" spans="1:8" x14ac:dyDescent="0.2">
      <c r="A852" s="631"/>
      <c r="B852" s="631"/>
      <c r="C852" s="631"/>
      <c r="D852" s="631"/>
      <c r="E852" s="631"/>
      <c r="F852" s="631"/>
      <c r="G852" s="631"/>
      <c r="H852" s="631"/>
    </row>
    <row r="853" spans="1:8" x14ac:dyDescent="0.2">
      <c r="A853" s="631"/>
      <c r="B853" s="631"/>
      <c r="C853" s="631"/>
      <c r="D853" s="631"/>
      <c r="E853" s="631"/>
      <c r="F853" s="631"/>
      <c r="G853" s="631"/>
      <c r="H853" s="631"/>
    </row>
    <row r="854" spans="1:8" x14ac:dyDescent="0.2">
      <c r="A854" s="631"/>
      <c r="B854" s="631"/>
      <c r="C854" s="631"/>
      <c r="D854" s="631"/>
      <c r="E854" s="631"/>
      <c r="F854" s="631"/>
      <c r="G854" s="631"/>
      <c r="H854" s="631"/>
    </row>
    <row r="855" spans="1:8" x14ac:dyDescent="0.2">
      <c r="A855" s="631"/>
      <c r="B855" s="631"/>
      <c r="C855" s="631"/>
      <c r="D855" s="631"/>
      <c r="E855" s="631"/>
      <c r="F855" s="631"/>
      <c r="G855" s="631"/>
      <c r="H855" s="631"/>
    </row>
    <row r="856" spans="1:8" x14ac:dyDescent="0.2">
      <c r="A856" s="631"/>
      <c r="B856" s="631"/>
      <c r="C856" s="631"/>
      <c r="D856" s="631"/>
      <c r="E856" s="631"/>
      <c r="F856" s="631"/>
      <c r="G856" s="631"/>
      <c r="H856" s="631"/>
    </row>
    <row r="857" spans="1:8" x14ac:dyDescent="0.2">
      <c r="A857" s="631"/>
      <c r="B857" s="631"/>
      <c r="C857" s="631"/>
      <c r="D857" s="631"/>
      <c r="E857" s="631"/>
      <c r="F857" s="631"/>
      <c r="G857" s="631"/>
      <c r="H857" s="631"/>
    </row>
    <row r="858" spans="1:8" x14ac:dyDescent="0.2">
      <c r="A858" s="631"/>
      <c r="B858" s="631"/>
      <c r="C858" s="631"/>
      <c r="D858" s="631"/>
      <c r="E858" s="631"/>
      <c r="F858" s="631"/>
      <c r="G858" s="631"/>
      <c r="H858" s="631"/>
    </row>
    <row r="859" spans="1:8" x14ac:dyDescent="0.2">
      <c r="A859" s="631"/>
      <c r="B859" s="631"/>
      <c r="C859" s="631"/>
      <c r="D859" s="631"/>
      <c r="E859" s="631"/>
      <c r="F859" s="631"/>
      <c r="G859" s="631"/>
      <c r="H859" s="631"/>
    </row>
    <row r="860" spans="1:8" x14ac:dyDescent="0.2">
      <c r="A860" s="631"/>
      <c r="B860" s="631"/>
      <c r="C860" s="631"/>
      <c r="D860" s="631"/>
      <c r="E860" s="631"/>
      <c r="F860" s="631"/>
      <c r="G860" s="631"/>
      <c r="H860" s="631"/>
    </row>
    <row r="861" spans="1:8" x14ac:dyDescent="0.2">
      <c r="A861" s="631"/>
      <c r="B861" s="631"/>
      <c r="C861" s="631"/>
      <c r="D861" s="631"/>
      <c r="E861" s="631"/>
      <c r="F861" s="631"/>
      <c r="G861" s="631"/>
      <c r="H861" s="631"/>
    </row>
    <row r="862" spans="1:8" x14ac:dyDescent="0.2">
      <c r="A862" s="631"/>
      <c r="B862" s="631"/>
      <c r="C862" s="631"/>
      <c r="D862" s="631"/>
      <c r="E862" s="631"/>
      <c r="F862" s="631"/>
      <c r="G862" s="631"/>
      <c r="H862" s="631"/>
    </row>
    <row r="863" spans="1:8" x14ac:dyDescent="0.2">
      <c r="A863" s="631"/>
      <c r="B863" s="631"/>
      <c r="C863" s="631"/>
      <c r="D863" s="631"/>
      <c r="E863" s="631"/>
      <c r="F863" s="631"/>
      <c r="G863" s="631"/>
      <c r="H863" s="631"/>
    </row>
    <row r="864" spans="1:8" x14ac:dyDescent="0.2">
      <c r="A864" s="631"/>
      <c r="B864" s="631"/>
      <c r="C864" s="631"/>
      <c r="D864" s="631"/>
      <c r="E864" s="631"/>
      <c r="F864" s="631"/>
      <c r="G864" s="631"/>
      <c r="H864" s="631"/>
    </row>
    <row r="865" spans="1:8" x14ac:dyDescent="0.2">
      <c r="A865" s="631"/>
      <c r="B865" s="631"/>
      <c r="C865" s="631"/>
      <c r="D865" s="631"/>
      <c r="E865" s="631"/>
      <c r="F865" s="631"/>
      <c r="G865" s="631"/>
      <c r="H865" s="631"/>
    </row>
    <row r="866" spans="1:8" x14ac:dyDescent="0.2">
      <c r="A866" s="631"/>
      <c r="B866" s="631"/>
      <c r="C866" s="631"/>
      <c r="D866" s="631"/>
      <c r="E866" s="631"/>
      <c r="F866" s="631"/>
      <c r="G866" s="631"/>
      <c r="H866" s="631"/>
    </row>
    <row r="867" spans="1:8" x14ac:dyDescent="0.2">
      <c r="A867" s="631"/>
      <c r="B867" s="631"/>
      <c r="C867" s="631"/>
      <c r="D867" s="631"/>
      <c r="E867" s="631"/>
      <c r="F867" s="631"/>
      <c r="G867" s="631"/>
      <c r="H867" s="631"/>
    </row>
    <row r="868" spans="1:8" x14ac:dyDescent="0.2">
      <c r="A868" s="631"/>
      <c r="B868" s="631"/>
      <c r="C868" s="631"/>
      <c r="D868" s="631"/>
      <c r="E868" s="631"/>
      <c r="F868" s="631"/>
      <c r="G868" s="631"/>
      <c r="H868" s="631"/>
    </row>
    <row r="869" spans="1:8" x14ac:dyDescent="0.2">
      <c r="A869" s="631"/>
      <c r="B869" s="631"/>
      <c r="C869" s="631"/>
      <c r="D869" s="631"/>
      <c r="E869" s="631"/>
      <c r="F869" s="631"/>
      <c r="G869" s="631"/>
      <c r="H869" s="631"/>
    </row>
    <row r="870" spans="1:8" x14ac:dyDescent="0.2">
      <c r="A870" s="631"/>
      <c r="B870" s="631"/>
      <c r="C870" s="631"/>
      <c r="D870" s="631"/>
      <c r="E870" s="631"/>
      <c r="F870" s="631"/>
      <c r="G870" s="631"/>
      <c r="H870" s="631"/>
    </row>
    <row r="871" spans="1:8" x14ac:dyDescent="0.2">
      <c r="A871" s="631"/>
      <c r="B871" s="631"/>
      <c r="C871" s="631"/>
      <c r="D871" s="631"/>
      <c r="E871" s="631"/>
      <c r="F871" s="631"/>
      <c r="G871" s="631"/>
      <c r="H871" s="631"/>
    </row>
    <row r="872" spans="1:8" x14ac:dyDescent="0.2">
      <c r="A872" s="631"/>
      <c r="B872" s="631"/>
      <c r="C872" s="631"/>
      <c r="D872" s="631"/>
      <c r="E872" s="631"/>
      <c r="F872" s="631"/>
      <c r="G872" s="631"/>
      <c r="H872" s="631"/>
    </row>
    <row r="873" spans="1:8" x14ac:dyDescent="0.2">
      <c r="A873" s="631"/>
      <c r="B873" s="631"/>
      <c r="C873" s="631"/>
      <c r="D873" s="631"/>
      <c r="E873" s="631"/>
      <c r="F873" s="631"/>
      <c r="G873" s="631"/>
      <c r="H873" s="631"/>
    </row>
    <row r="874" spans="1:8" x14ac:dyDescent="0.2">
      <c r="A874" s="631"/>
      <c r="B874" s="631"/>
      <c r="C874" s="631"/>
      <c r="D874" s="631"/>
      <c r="E874" s="631"/>
      <c r="F874" s="631"/>
      <c r="G874" s="631"/>
      <c r="H874" s="631"/>
    </row>
    <row r="875" spans="1:8" x14ac:dyDescent="0.2">
      <c r="A875" s="631"/>
      <c r="B875" s="631"/>
      <c r="C875" s="631"/>
      <c r="D875" s="631"/>
      <c r="E875" s="631"/>
      <c r="F875" s="631"/>
      <c r="G875" s="631"/>
      <c r="H875" s="631"/>
    </row>
    <row r="876" spans="1:8" x14ac:dyDescent="0.2">
      <c r="A876" s="631"/>
      <c r="B876" s="631"/>
      <c r="C876" s="631"/>
      <c r="D876" s="631"/>
      <c r="E876" s="631"/>
      <c r="F876" s="631"/>
      <c r="G876" s="631"/>
      <c r="H876" s="631"/>
    </row>
    <row r="877" spans="1:8" x14ac:dyDescent="0.2">
      <c r="A877" s="631"/>
      <c r="B877" s="631"/>
      <c r="C877" s="631"/>
      <c r="D877" s="631"/>
      <c r="E877" s="631"/>
      <c r="F877" s="631"/>
      <c r="G877" s="631"/>
      <c r="H877" s="631"/>
    </row>
    <row r="878" spans="1:8" x14ac:dyDescent="0.2">
      <c r="A878" s="631"/>
      <c r="B878" s="631"/>
      <c r="C878" s="631"/>
      <c r="D878" s="631"/>
      <c r="E878" s="631"/>
      <c r="F878" s="631"/>
      <c r="G878" s="631"/>
      <c r="H878" s="631"/>
    </row>
    <row r="879" spans="1:8" x14ac:dyDescent="0.2">
      <c r="A879" s="631"/>
      <c r="B879" s="631"/>
      <c r="C879" s="631"/>
      <c r="D879" s="631"/>
      <c r="E879" s="631"/>
      <c r="F879" s="631"/>
      <c r="G879" s="631"/>
      <c r="H879" s="631"/>
    </row>
    <row r="880" spans="1:8" x14ac:dyDescent="0.2">
      <c r="A880" s="631"/>
      <c r="B880" s="631"/>
      <c r="C880" s="631"/>
      <c r="D880" s="631"/>
      <c r="E880" s="631"/>
      <c r="F880" s="631"/>
      <c r="G880" s="631"/>
      <c r="H880" s="631"/>
    </row>
    <row r="881" spans="1:8" x14ac:dyDescent="0.2">
      <c r="A881" s="631"/>
      <c r="B881" s="631"/>
      <c r="C881" s="631"/>
      <c r="D881" s="631"/>
      <c r="E881" s="631"/>
      <c r="F881" s="631"/>
      <c r="G881" s="631"/>
      <c r="H881" s="631"/>
    </row>
    <row r="882" spans="1:8" x14ac:dyDescent="0.2">
      <c r="A882" s="631"/>
      <c r="B882" s="631"/>
      <c r="C882" s="631"/>
      <c r="D882" s="631"/>
      <c r="E882" s="631"/>
      <c r="F882" s="631"/>
      <c r="G882" s="631"/>
      <c r="H882" s="631"/>
    </row>
    <row r="883" spans="1:8" x14ac:dyDescent="0.2">
      <c r="A883" s="631"/>
      <c r="B883" s="631"/>
      <c r="C883" s="631"/>
      <c r="D883" s="631"/>
      <c r="E883" s="631"/>
      <c r="F883" s="631"/>
      <c r="G883" s="631"/>
      <c r="H883" s="631"/>
    </row>
    <row r="884" spans="1:8" x14ac:dyDescent="0.2">
      <c r="A884" s="631"/>
      <c r="B884" s="631"/>
      <c r="C884" s="631"/>
      <c r="D884" s="631"/>
      <c r="E884" s="631"/>
      <c r="F884" s="631"/>
      <c r="G884" s="631"/>
      <c r="H884" s="631"/>
    </row>
    <row r="885" spans="1:8" x14ac:dyDescent="0.2">
      <c r="A885" s="631"/>
      <c r="B885" s="631"/>
      <c r="C885" s="631"/>
      <c r="D885" s="631"/>
      <c r="E885" s="631"/>
      <c r="F885" s="631"/>
      <c r="G885" s="631"/>
      <c r="H885" s="631"/>
    </row>
    <row r="886" spans="1:8" x14ac:dyDescent="0.2">
      <c r="A886" s="631"/>
      <c r="B886" s="631"/>
      <c r="C886" s="631"/>
      <c r="D886" s="631"/>
      <c r="E886" s="631"/>
      <c r="F886" s="631"/>
      <c r="G886" s="631"/>
      <c r="H886" s="631"/>
    </row>
    <row r="887" spans="1:8" x14ac:dyDescent="0.2">
      <c r="A887" s="631"/>
      <c r="B887" s="631"/>
      <c r="C887" s="631"/>
      <c r="D887" s="631"/>
      <c r="E887" s="631"/>
      <c r="F887" s="631"/>
      <c r="G887" s="631"/>
      <c r="H887" s="631"/>
    </row>
    <row r="888" spans="1:8" x14ac:dyDescent="0.2">
      <c r="A888" s="631"/>
      <c r="B888" s="631"/>
      <c r="C888" s="631"/>
      <c r="D888" s="631"/>
      <c r="E888" s="631"/>
      <c r="F888" s="631"/>
      <c r="G888" s="631"/>
      <c r="H888" s="631"/>
    </row>
    <row r="889" spans="1:8" x14ac:dyDescent="0.2">
      <c r="A889" s="631"/>
      <c r="B889" s="631"/>
      <c r="C889" s="631"/>
      <c r="D889" s="631"/>
      <c r="E889" s="631"/>
      <c r="F889" s="631"/>
      <c r="G889" s="631"/>
      <c r="H889" s="631"/>
    </row>
    <row r="890" spans="1:8" x14ac:dyDescent="0.2">
      <c r="A890" s="631"/>
      <c r="B890" s="631"/>
      <c r="C890" s="631"/>
      <c r="D890" s="631"/>
      <c r="E890" s="631"/>
      <c r="F890" s="631"/>
      <c r="G890" s="631"/>
      <c r="H890" s="631"/>
    </row>
    <row r="891" spans="1:8" x14ac:dyDescent="0.2">
      <c r="A891" s="631"/>
      <c r="B891" s="631"/>
      <c r="C891" s="631"/>
      <c r="D891" s="631"/>
      <c r="E891" s="631"/>
      <c r="F891" s="631"/>
      <c r="G891" s="631"/>
      <c r="H891" s="631"/>
    </row>
    <row r="892" spans="1:8" x14ac:dyDescent="0.2">
      <c r="A892" s="631"/>
      <c r="B892" s="631"/>
      <c r="C892" s="631"/>
      <c r="D892" s="631"/>
      <c r="E892" s="631"/>
      <c r="F892" s="631"/>
      <c r="G892" s="631"/>
      <c r="H892" s="631"/>
    </row>
    <row r="893" spans="1:8" x14ac:dyDescent="0.2">
      <c r="A893" s="631"/>
      <c r="B893" s="631"/>
      <c r="C893" s="631"/>
      <c r="D893" s="631"/>
      <c r="E893" s="631"/>
      <c r="F893" s="631"/>
      <c r="G893" s="631"/>
      <c r="H893" s="631"/>
    </row>
    <row r="894" spans="1:8" x14ac:dyDescent="0.2">
      <c r="A894" s="631"/>
      <c r="B894" s="631"/>
      <c r="C894" s="631"/>
      <c r="D894" s="631"/>
      <c r="E894" s="631"/>
      <c r="F894" s="631"/>
      <c r="G894" s="631"/>
      <c r="H894" s="631"/>
    </row>
    <row r="895" spans="1:8" x14ac:dyDescent="0.2">
      <c r="A895" s="631"/>
      <c r="B895" s="631"/>
      <c r="C895" s="631"/>
      <c r="D895" s="631"/>
      <c r="E895" s="631"/>
      <c r="F895" s="631"/>
      <c r="G895" s="631"/>
      <c r="H895" s="631"/>
    </row>
    <row r="896" spans="1:8" x14ac:dyDescent="0.2">
      <c r="A896" s="631"/>
      <c r="B896" s="631"/>
      <c r="C896" s="631"/>
      <c r="D896" s="631"/>
      <c r="E896" s="631"/>
      <c r="F896" s="631"/>
      <c r="G896" s="631"/>
      <c r="H896" s="631"/>
    </row>
    <row r="897" spans="1:8" x14ac:dyDescent="0.2">
      <c r="A897" s="631"/>
      <c r="B897" s="631"/>
      <c r="C897" s="631"/>
      <c r="D897" s="631"/>
      <c r="E897" s="631"/>
      <c r="F897" s="631"/>
      <c r="G897" s="631"/>
      <c r="H897" s="631"/>
    </row>
    <row r="898" spans="1:8" x14ac:dyDescent="0.2">
      <c r="A898" s="631"/>
      <c r="B898" s="631"/>
      <c r="C898" s="631"/>
      <c r="D898" s="631"/>
      <c r="E898" s="631"/>
      <c r="F898" s="631"/>
      <c r="G898" s="631"/>
      <c r="H898" s="631"/>
    </row>
    <row r="899" spans="1:8" x14ac:dyDescent="0.2">
      <c r="A899" s="631"/>
      <c r="B899" s="631"/>
      <c r="C899" s="631"/>
      <c r="D899" s="631"/>
      <c r="E899" s="631"/>
      <c r="F899" s="631"/>
      <c r="G899" s="631"/>
      <c r="H899" s="631"/>
    </row>
    <row r="900" spans="1:8" x14ac:dyDescent="0.2">
      <c r="A900" s="631"/>
      <c r="B900" s="631"/>
      <c r="C900" s="631"/>
      <c r="D900" s="631"/>
      <c r="E900" s="631"/>
      <c r="F900" s="631"/>
      <c r="G900" s="631"/>
      <c r="H900" s="631"/>
    </row>
    <row r="901" spans="1:8" x14ac:dyDescent="0.2">
      <c r="A901" s="631"/>
      <c r="B901" s="631"/>
      <c r="C901" s="631"/>
      <c r="D901" s="631"/>
      <c r="E901" s="631"/>
      <c r="F901" s="631"/>
      <c r="G901" s="631"/>
      <c r="H901" s="631"/>
    </row>
    <row r="902" spans="1:8" x14ac:dyDescent="0.2">
      <c r="A902" s="631"/>
      <c r="B902" s="631"/>
      <c r="C902" s="631"/>
      <c r="D902" s="631"/>
      <c r="E902" s="631"/>
      <c r="F902" s="631"/>
      <c r="G902" s="631"/>
      <c r="H902" s="631"/>
    </row>
    <row r="903" spans="1:8" x14ac:dyDescent="0.2">
      <c r="A903" s="631"/>
      <c r="B903" s="631"/>
      <c r="C903" s="631"/>
      <c r="D903" s="631"/>
      <c r="E903" s="631"/>
      <c r="F903" s="631"/>
      <c r="G903" s="631"/>
      <c r="H903" s="631"/>
    </row>
    <row r="904" spans="1:8" x14ac:dyDescent="0.2">
      <c r="A904" s="631"/>
      <c r="B904" s="631"/>
      <c r="C904" s="631"/>
      <c r="D904" s="631"/>
      <c r="E904" s="631"/>
      <c r="F904" s="631"/>
      <c r="G904" s="631"/>
      <c r="H904" s="631"/>
    </row>
    <row r="905" spans="1:8" x14ac:dyDescent="0.2">
      <c r="A905" s="631"/>
      <c r="B905" s="631"/>
      <c r="C905" s="631"/>
      <c r="D905" s="631"/>
      <c r="E905" s="631"/>
      <c r="F905" s="631"/>
      <c r="G905" s="631"/>
      <c r="H905" s="631"/>
    </row>
    <row r="906" spans="1:8" x14ac:dyDescent="0.2">
      <c r="A906" s="631"/>
      <c r="B906" s="631"/>
      <c r="C906" s="631"/>
      <c r="D906" s="631"/>
      <c r="E906" s="631"/>
      <c r="F906" s="631"/>
      <c r="G906" s="631"/>
      <c r="H906" s="631"/>
    </row>
    <row r="907" spans="1:8" x14ac:dyDescent="0.2">
      <c r="A907" s="631"/>
      <c r="B907" s="631"/>
      <c r="C907" s="631"/>
      <c r="D907" s="631"/>
      <c r="E907" s="631"/>
      <c r="F907" s="631"/>
      <c r="G907" s="631"/>
      <c r="H907" s="631"/>
    </row>
    <row r="908" spans="1:8" x14ac:dyDescent="0.2">
      <c r="A908" s="631"/>
      <c r="B908" s="631"/>
      <c r="C908" s="631"/>
      <c r="D908" s="631"/>
      <c r="E908" s="631"/>
      <c r="F908" s="631"/>
      <c r="G908" s="631"/>
      <c r="H908" s="631"/>
    </row>
    <row r="909" spans="1:8" x14ac:dyDescent="0.2">
      <c r="A909" s="631"/>
      <c r="B909" s="631"/>
      <c r="C909" s="631"/>
      <c r="D909" s="631"/>
      <c r="E909" s="631"/>
      <c r="F909" s="631"/>
      <c r="G909" s="631"/>
      <c r="H909" s="631"/>
    </row>
    <row r="910" spans="1:8" x14ac:dyDescent="0.2">
      <c r="A910" s="631"/>
      <c r="B910" s="631"/>
      <c r="C910" s="631"/>
      <c r="D910" s="631"/>
      <c r="E910" s="631"/>
      <c r="F910" s="631"/>
      <c r="G910" s="631"/>
      <c r="H910" s="631"/>
    </row>
    <row r="911" spans="1:8" x14ac:dyDescent="0.2">
      <c r="A911" s="631"/>
      <c r="B911" s="631"/>
      <c r="C911" s="631"/>
      <c r="D911" s="631"/>
      <c r="E911" s="631"/>
      <c r="F911" s="631"/>
      <c r="G911" s="631"/>
      <c r="H911" s="631"/>
    </row>
    <row r="912" spans="1:8" x14ac:dyDescent="0.2">
      <c r="A912" s="631"/>
      <c r="B912" s="631"/>
      <c r="C912" s="631"/>
      <c r="D912" s="631"/>
      <c r="E912" s="631"/>
      <c r="F912" s="631"/>
      <c r="G912" s="631"/>
      <c r="H912" s="631"/>
    </row>
    <row r="913" spans="1:8" x14ac:dyDescent="0.2">
      <c r="A913" s="631"/>
      <c r="B913" s="631"/>
      <c r="C913" s="631"/>
      <c r="D913" s="631"/>
      <c r="E913" s="631"/>
      <c r="F913" s="631"/>
      <c r="G913" s="631"/>
      <c r="H913" s="631"/>
    </row>
    <row r="914" spans="1:8" x14ac:dyDescent="0.2">
      <c r="A914" s="631"/>
      <c r="B914" s="631"/>
      <c r="C914" s="631"/>
      <c r="D914" s="631"/>
      <c r="E914" s="631"/>
      <c r="F914" s="631"/>
      <c r="G914" s="631"/>
      <c r="H914" s="631"/>
    </row>
    <row r="915" spans="1:8" x14ac:dyDescent="0.2">
      <c r="A915" s="631"/>
      <c r="B915" s="631"/>
      <c r="C915" s="631"/>
      <c r="D915" s="631"/>
      <c r="E915" s="631"/>
      <c r="F915" s="631"/>
      <c r="G915" s="631"/>
      <c r="H915" s="631"/>
    </row>
    <row r="916" spans="1:8" x14ac:dyDescent="0.2">
      <c r="A916" s="631"/>
      <c r="B916" s="631"/>
      <c r="C916" s="631"/>
      <c r="D916" s="631"/>
      <c r="E916" s="631"/>
      <c r="F916" s="631"/>
      <c r="G916" s="631"/>
      <c r="H916" s="631"/>
    </row>
    <row r="917" spans="1:8" x14ac:dyDescent="0.2">
      <c r="A917" s="631"/>
      <c r="B917" s="631"/>
      <c r="C917" s="631"/>
      <c r="D917" s="631"/>
      <c r="E917" s="631"/>
      <c r="F917" s="631"/>
      <c r="G917" s="631"/>
      <c r="H917" s="631"/>
    </row>
    <row r="918" spans="1:8" x14ac:dyDescent="0.2">
      <c r="A918" s="631"/>
      <c r="B918" s="631"/>
      <c r="C918" s="631"/>
      <c r="D918" s="631"/>
      <c r="E918" s="631"/>
      <c r="F918" s="631"/>
      <c r="G918" s="631"/>
      <c r="H918" s="631"/>
    </row>
    <row r="919" spans="1:8" x14ac:dyDescent="0.2">
      <c r="A919" s="631"/>
      <c r="B919" s="631"/>
      <c r="C919" s="631"/>
      <c r="D919" s="631"/>
      <c r="E919" s="631"/>
      <c r="F919" s="631"/>
      <c r="G919" s="631"/>
      <c r="H919" s="631"/>
    </row>
    <row r="920" spans="1:8" x14ac:dyDescent="0.2">
      <c r="A920" s="631"/>
      <c r="B920" s="631"/>
      <c r="C920" s="631"/>
      <c r="D920" s="631"/>
      <c r="E920" s="631"/>
      <c r="F920" s="631"/>
      <c r="G920" s="631"/>
      <c r="H920" s="631"/>
    </row>
    <row r="921" spans="1:8" x14ac:dyDescent="0.2">
      <c r="A921" s="631"/>
      <c r="B921" s="631"/>
      <c r="C921" s="631"/>
      <c r="D921" s="631"/>
      <c r="E921" s="631"/>
      <c r="F921" s="631"/>
      <c r="G921" s="631"/>
      <c r="H921" s="631"/>
    </row>
    <row r="922" spans="1:8" x14ac:dyDescent="0.2">
      <c r="A922" s="631"/>
      <c r="B922" s="631"/>
      <c r="C922" s="631"/>
      <c r="D922" s="631"/>
      <c r="E922" s="631"/>
      <c r="F922" s="631"/>
      <c r="G922" s="631"/>
      <c r="H922" s="631"/>
    </row>
    <row r="923" spans="1:8" x14ac:dyDescent="0.2">
      <c r="A923" s="631"/>
      <c r="B923" s="631"/>
      <c r="C923" s="631"/>
      <c r="D923" s="631"/>
      <c r="E923" s="631"/>
      <c r="F923" s="631"/>
      <c r="G923" s="631"/>
      <c r="H923" s="631"/>
    </row>
    <row r="924" spans="1:8" x14ac:dyDescent="0.2">
      <c r="A924" s="631"/>
      <c r="B924" s="631"/>
      <c r="C924" s="631"/>
      <c r="D924" s="631"/>
      <c r="E924" s="631"/>
      <c r="F924" s="631"/>
      <c r="G924" s="631"/>
      <c r="H924" s="631"/>
    </row>
    <row r="925" spans="1:8" x14ac:dyDescent="0.2">
      <c r="A925" s="631"/>
      <c r="B925" s="631"/>
      <c r="C925" s="631"/>
      <c r="D925" s="631"/>
      <c r="E925" s="631"/>
      <c r="F925" s="631"/>
      <c r="G925" s="631"/>
      <c r="H925" s="631"/>
    </row>
    <row r="926" spans="1:8" x14ac:dyDescent="0.2">
      <c r="A926" s="631"/>
      <c r="B926" s="631"/>
      <c r="C926" s="631"/>
      <c r="D926" s="631"/>
      <c r="E926" s="631"/>
      <c r="F926" s="631"/>
      <c r="G926" s="631"/>
      <c r="H926" s="631"/>
    </row>
    <row r="927" spans="1:8" x14ac:dyDescent="0.2">
      <c r="A927" s="631"/>
      <c r="B927" s="631"/>
      <c r="C927" s="631"/>
      <c r="D927" s="631"/>
      <c r="E927" s="631"/>
      <c r="F927" s="631"/>
      <c r="G927" s="631"/>
      <c r="H927" s="631"/>
    </row>
    <row r="928" spans="1:8" x14ac:dyDescent="0.2">
      <c r="A928" s="631"/>
      <c r="B928" s="631"/>
      <c r="C928" s="631"/>
      <c r="D928" s="631"/>
      <c r="E928" s="631"/>
      <c r="F928" s="631"/>
      <c r="G928" s="631"/>
      <c r="H928" s="631"/>
    </row>
    <row r="929" spans="1:8" x14ac:dyDescent="0.2">
      <c r="A929" s="631"/>
      <c r="B929" s="631"/>
      <c r="C929" s="631"/>
      <c r="D929" s="631"/>
      <c r="E929" s="631"/>
      <c r="F929" s="631"/>
      <c r="G929" s="631"/>
      <c r="H929" s="631"/>
    </row>
    <row r="930" spans="1:8" x14ac:dyDescent="0.2">
      <c r="A930" s="631"/>
      <c r="B930" s="631"/>
      <c r="C930" s="631"/>
      <c r="D930" s="631"/>
      <c r="E930" s="631"/>
      <c r="F930" s="631"/>
      <c r="G930" s="631"/>
      <c r="H930" s="631"/>
    </row>
    <row r="931" spans="1:8" x14ac:dyDescent="0.2">
      <c r="A931" s="631"/>
      <c r="B931" s="631"/>
      <c r="C931" s="631"/>
      <c r="D931" s="631"/>
      <c r="E931" s="631"/>
      <c r="F931" s="631"/>
      <c r="G931" s="631"/>
      <c r="H931" s="631"/>
    </row>
    <row r="932" spans="1:8" x14ac:dyDescent="0.2">
      <c r="A932" s="631"/>
      <c r="B932" s="631"/>
      <c r="C932" s="631"/>
      <c r="D932" s="631"/>
      <c r="E932" s="631"/>
      <c r="F932" s="631"/>
      <c r="G932" s="631"/>
      <c r="H932" s="631"/>
    </row>
    <row r="933" spans="1:8" x14ac:dyDescent="0.2">
      <c r="A933" s="631"/>
      <c r="B933" s="631"/>
      <c r="C933" s="631"/>
      <c r="D933" s="631"/>
      <c r="E933" s="631"/>
      <c r="F933" s="631"/>
      <c r="G933" s="631"/>
      <c r="H933" s="631"/>
    </row>
    <row r="934" spans="1:8" x14ac:dyDescent="0.2">
      <c r="A934" s="631"/>
      <c r="B934" s="631"/>
      <c r="C934" s="631"/>
      <c r="D934" s="631"/>
      <c r="E934" s="631"/>
      <c r="F934" s="631"/>
      <c r="G934" s="631"/>
      <c r="H934" s="631"/>
    </row>
    <row r="935" spans="1:8" x14ac:dyDescent="0.2">
      <c r="A935" s="631"/>
      <c r="B935" s="631"/>
      <c r="C935" s="631"/>
      <c r="D935" s="631"/>
      <c r="E935" s="631"/>
      <c r="F935" s="631"/>
      <c r="G935" s="631"/>
      <c r="H935" s="631"/>
    </row>
    <row r="936" spans="1:8" x14ac:dyDescent="0.2">
      <c r="A936" s="631"/>
      <c r="B936" s="631"/>
      <c r="C936" s="631"/>
      <c r="D936" s="631"/>
      <c r="E936" s="631"/>
      <c r="F936" s="631"/>
      <c r="G936" s="631"/>
      <c r="H936" s="631"/>
    </row>
    <row r="937" spans="1:8" x14ac:dyDescent="0.2">
      <c r="A937" s="631"/>
      <c r="B937" s="631"/>
      <c r="C937" s="631"/>
      <c r="D937" s="631"/>
      <c r="E937" s="631"/>
      <c r="F937" s="631"/>
      <c r="G937" s="631"/>
      <c r="H937" s="631"/>
    </row>
    <row r="938" spans="1:8" x14ac:dyDescent="0.2">
      <c r="A938" s="631"/>
      <c r="B938" s="631"/>
      <c r="C938" s="631"/>
      <c r="D938" s="631"/>
      <c r="E938" s="631"/>
      <c r="F938" s="631"/>
      <c r="G938" s="631"/>
      <c r="H938" s="631"/>
    </row>
    <row r="939" spans="1:8" x14ac:dyDescent="0.2">
      <c r="A939" s="631"/>
      <c r="B939" s="631"/>
      <c r="C939" s="631"/>
      <c r="D939" s="631"/>
      <c r="E939" s="631"/>
      <c r="F939" s="631"/>
      <c r="G939" s="631"/>
      <c r="H939" s="631"/>
    </row>
    <row r="940" spans="1:8" x14ac:dyDescent="0.2">
      <c r="A940" s="631"/>
      <c r="B940" s="631"/>
      <c r="C940" s="631"/>
      <c r="D940" s="631"/>
      <c r="E940" s="631"/>
      <c r="F940" s="631"/>
      <c r="G940" s="631"/>
      <c r="H940" s="631"/>
    </row>
    <row r="941" spans="1:8" x14ac:dyDescent="0.2">
      <c r="A941" s="631"/>
      <c r="B941" s="631"/>
      <c r="C941" s="631"/>
      <c r="D941" s="631"/>
      <c r="E941" s="631"/>
      <c r="F941" s="631"/>
      <c r="G941" s="631"/>
      <c r="H941" s="631"/>
    </row>
    <row r="942" spans="1:8" x14ac:dyDescent="0.2">
      <c r="A942" s="631"/>
      <c r="B942" s="631"/>
      <c r="C942" s="631"/>
      <c r="D942" s="631"/>
      <c r="E942" s="631"/>
      <c r="F942" s="631"/>
      <c r="G942" s="631"/>
      <c r="H942" s="631"/>
    </row>
    <row r="943" spans="1:8" x14ac:dyDescent="0.2">
      <c r="A943" s="631"/>
      <c r="B943" s="631"/>
      <c r="C943" s="631"/>
      <c r="D943" s="631"/>
      <c r="E943" s="631"/>
      <c r="F943" s="631"/>
      <c r="G943" s="631"/>
      <c r="H943" s="631"/>
    </row>
    <row r="944" spans="1:8" x14ac:dyDescent="0.2">
      <c r="A944" s="631"/>
      <c r="B944" s="631"/>
      <c r="C944" s="631"/>
      <c r="D944" s="631"/>
      <c r="E944" s="631"/>
      <c r="F944" s="631"/>
      <c r="G944" s="631"/>
      <c r="H944" s="631"/>
    </row>
    <row r="945" spans="1:8" x14ac:dyDescent="0.2">
      <c r="A945" s="631"/>
      <c r="B945" s="631"/>
      <c r="C945" s="631"/>
      <c r="D945" s="631"/>
      <c r="E945" s="631"/>
      <c r="F945" s="631"/>
      <c r="G945" s="631"/>
      <c r="H945" s="631"/>
    </row>
    <row r="946" spans="1:8" x14ac:dyDescent="0.2">
      <c r="A946" s="631"/>
      <c r="B946" s="631"/>
      <c r="C946" s="631"/>
      <c r="D946" s="631"/>
      <c r="E946" s="631"/>
      <c r="F946" s="631"/>
      <c r="G946" s="631"/>
      <c r="H946" s="631"/>
    </row>
    <row r="947" spans="1:8" x14ac:dyDescent="0.2">
      <c r="A947" s="631"/>
      <c r="B947" s="631"/>
      <c r="C947" s="631"/>
      <c r="D947" s="631"/>
      <c r="E947" s="631"/>
      <c r="F947" s="631"/>
      <c r="G947" s="631"/>
      <c r="H947" s="631"/>
    </row>
    <row r="948" spans="1:8" x14ac:dyDescent="0.2">
      <c r="A948" s="631"/>
      <c r="B948" s="631"/>
      <c r="C948" s="631"/>
      <c r="D948" s="631"/>
      <c r="E948" s="631"/>
      <c r="F948" s="631"/>
      <c r="G948" s="631"/>
      <c r="H948" s="631"/>
    </row>
    <row r="949" spans="1:8" x14ac:dyDescent="0.2">
      <c r="A949" s="631"/>
      <c r="B949" s="631"/>
      <c r="C949" s="631"/>
      <c r="D949" s="631"/>
      <c r="E949" s="631"/>
      <c r="F949" s="631"/>
      <c r="G949" s="631"/>
      <c r="H949" s="631"/>
    </row>
    <row r="950" spans="1:8" x14ac:dyDescent="0.2">
      <c r="A950" s="631"/>
      <c r="B950" s="631"/>
      <c r="C950" s="631"/>
      <c r="D950" s="631"/>
      <c r="E950" s="631"/>
      <c r="F950" s="631"/>
      <c r="G950" s="631"/>
      <c r="H950" s="631"/>
    </row>
    <row r="951" spans="1:8" x14ac:dyDescent="0.2">
      <c r="A951" s="631"/>
      <c r="B951" s="631"/>
      <c r="C951" s="631"/>
      <c r="D951" s="631"/>
      <c r="E951" s="631"/>
      <c r="F951" s="631"/>
      <c r="G951" s="631"/>
      <c r="H951" s="631"/>
    </row>
    <row r="952" spans="1:8" x14ac:dyDescent="0.2">
      <c r="A952" s="631"/>
      <c r="B952" s="631"/>
      <c r="C952" s="631"/>
      <c r="D952" s="631"/>
      <c r="E952" s="631"/>
      <c r="F952" s="631"/>
      <c r="G952" s="631"/>
      <c r="H952" s="631"/>
    </row>
    <row r="953" spans="1:8" x14ac:dyDescent="0.2">
      <c r="A953" s="631"/>
      <c r="B953" s="631"/>
      <c r="C953" s="631"/>
      <c r="D953" s="631"/>
      <c r="E953" s="631"/>
      <c r="F953" s="631"/>
      <c r="G953" s="631"/>
      <c r="H953" s="631"/>
    </row>
    <row r="954" spans="1:8" x14ac:dyDescent="0.2">
      <c r="A954" s="631"/>
      <c r="B954" s="631"/>
      <c r="C954" s="631"/>
      <c r="D954" s="631"/>
      <c r="E954" s="631"/>
      <c r="F954" s="631"/>
      <c r="G954" s="631"/>
      <c r="H954" s="631"/>
    </row>
    <row r="955" spans="1:8" x14ac:dyDescent="0.2">
      <c r="A955" s="631"/>
      <c r="B955" s="631"/>
      <c r="C955" s="631"/>
      <c r="D955" s="631"/>
      <c r="E955" s="631"/>
      <c r="F955" s="631"/>
      <c r="G955" s="631"/>
      <c r="H955" s="631"/>
    </row>
    <row r="956" spans="1:8" x14ac:dyDescent="0.2">
      <c r="A956" s="631"/>
      <c r="B956" s="631"/>
      <c r="C956" s="631"/>
      <c r="D956" s="631"/>
      <c r="E956" s="631"/>
      <c r="F956" s="631"/>
      <c r="G956" s="631"/>
      <c r="H956" s="631"/>
    </row>
    <row r="957" spans="1:8" x14ac:dyDescent="0.2">
      <c r="A957" s="631"/>
      <c r="B957" s="631"/>
      <c r="C957" s="631"/>
      <c r="D957" s="631"/>
      <c r="E957" s="631"/>
      <c r="F957" s="631"/>
      <c r="G957" s="631"/>
      <c r="H957" s="631"/>
    </row>
    <row r="958" spans="1:8" x14ac:dyDescent="0.2">
      <c r="A958" s="631"/>
      <c r="B958" s="631"/>
      <c r="C958" s="631"/>
      <c r="D958" s="631"/>
      <c r="E958" s="631"/>
      <c r="F958" s="631"/>
      <c r="G958" s="631"/>
      <c r="H958" s="631"/>
    </row>
    <row r="959" spans="1:8" x14ac:dyDescent="0.2">
      <c r="A959" s="631"/>
      <c r="B959" s="631"/>
      <c r="C959" s="631"/>
      <c r="D959" s="631"/>
      <c r="E959" s="631"/>
      <c r="F959" s="631"/>
      <c r="G959" s="631"/>
      <c r="H959" s="631"/>
    </row>
    <row r="960" spans="1:8" x14ac:dyDescent="0.2">
      <c r="A960" s="631"/>
      <c r="B960" s="631"/>
      <c r="C960" s="631"/>
      <c r="D960" s="631"/>
      <c r="E960" s="631"/>
      <c r="F960" s="631"/>
      <c r="G960" s="631"/>
      <c r="H960" s="631"/>
    </row>
    <row r="961" spans="1:8" x14ac:dyDescent="0.2">
      <c r="A961" s="631"/>
      <c r="B961" s="631"/>
      <c r="C961" s="631"/>
      <c r="D961" s="631"/>
      <c r="E961" s="631"/>
      <c r="F961" s="631"/>
      <c r="G961" s="631"/>
      <c r="H961" s="631"/>
    </row>
    <row r="962" spans="1:8" x14ac:dyDescent="0.2">
      <c r="A962" s="631"/>
      <c r="B962" s="631"/>
      <c r="C962" s="631"/>
      <c r="D962" s="631"/>
      <c r="E962" s="631"/>
      <c r="F962" s="631"/>
      <c r="G962" s="631"/>
      <c r="H962" s="631"/>
    </row>
    <row r="963" spans="1:8" x14ac:dyDescent="0.2">
      <c r="A963" s="631"/>
      <c r="B963" s="631"/>
      <c r="C963" s="631"/>
      <c r="D963" s="631"/>
      <c r="E963" s="631"/>
      <c r="F963" s="631"/>
      <c r="G963" s="631"/>
      <c r="H963" s="631"/>
    </row>
    <row r="964" spans="1:8" x14ac:dyDescent="0.2">
      <c r="A964" s="631"/>
      <c r="B964" s="631"/>
      <c r="C964" s="631"/>
      <c r="D964" s="631"/>
      <c r="E964" s="631"/>
      <c r="F964" s="631"/>
      <c r="G964" s="631"/>
      <c r="H964" s="631"/>
    </row>
    <row r="965" spans="1:8" x14ac:dyDescent="0.2">
      <c r="A965" s="631"/>
      <c r="B965" s="631"/>
      <c r="C965" s="631"/>
      <c r="D965" s="631"/>
      <c r="E965" s="631"/>
      <c r="F965" s="631"/>
      <c r="G965" s="631"/>
      <c r="H965" s="631"/>
    </row>
    <row r="966" spans="1:8" x14ac:dyDescent="0.2">
      <c r="A966" s="631"/>
      <c r="B966" s="631"/>
      <c r="C966" s="631"/>
      <c r="D966" s="631"/>
      <c r="E966" s="631"/>
      <c r="F966" s="631"/>
      <c r="G966" s="631"/>
      <c r="H966" s="631"/>
    </row>
    <row r="967" spans="1:8" x14ac:dyDescent="0.2">
      <c r="A967" s="631"/>
      <c r="B967" s="631"/>
      <c r="C967" s="631"/>
      <c r="D967" s="631"/>
      <c r="E967" s="631"/>
      <c r="F967" s="631"/>
      <c r="G967" s="631"/>
      <c r="H967" s="631"/>
    </row>
    <row r="968" spans="1:8" x14ac:dyDescent="0.2">
      <c r="A968" s="631"/>
      <c r="B968" s="631"/>
      <c r="C968" s="631"/>
      <c r="D968" s="631"/>
      <c r="E968" s="631"/>
      <c r="F968" s="631"/>
      <c r="G968" s="631"/>
      <c r="H968" s="631"/>
    </row>
    <row r="969" spans="1:8" x14ac:dyDescent="0.2">
      <c r="A969" s="631"/>
      <c r="B969" s="631"/>
      <c r="C969" s="631"/>
      <c r="D969" s="631"/>
      <c r="E969" s="631"/>
      <c r="F969" s="631"/>
      <c r="G969" s="631"/>
      <c r="H969" s="631"/>
    </row>
    <row r="970" spans="1:8" x14ac:dyDescent="0.2">
      <c r="A970" s="631"/>
      <c r="B970" s="631"/>
      <c r="C970" s="631"/>
      <c r="D970" s="631"/>
      <c r="E970" s="631"/>
      <c r="F970" s="631"/>
      <c r="G970" s="631"/>
      <c r="H970" s="631"/>
    </row>
    <row r="971" spans="1:8" x14ac:dyDescent="0.2">
      <c r="A971" s="631"/>
      <c r="B971" s="631"/>
      <c r="C971" s="631"/>
      <c r="D971" s="631"/>
      <c r="E971" s="631"/>
      <c r="F971" s="631"/>
      <c r="G971" s="631"/>
      <c r="H971" s="631"/>
    </row>
    <row r="972" spans="1:8" x14ac:dyDescent="0.2">
      <c r="A972" s="631"/>
      <c r="B972" s="631"/>
      <c r="C972" s="631"/>
      <c r="D972" s="631"/>
      <c r="E972" s="631"/>
      <c r="F972" s="631"/>
      <c r="G972" s="631"/>
      <c r="H972" s="631"/>
    </row>
    <row r="973" spans="1:8" x14ac:dyDescent="0.2">
      <c r="A973" s="631"/>
      <c r="B973" s="631"/>
      <c r="C973" s="631"/>
      <c r="D973" s="631"/>
      <c r="E973" s="631"/>
      <c r="F973" s="631"/>
      <c r="G973" s="631"/>
      <c r="H973" s="631"/>
    </row>
    <row r="974" spans="1:8" x14ac:dyDescent="0.2">
      <c r="A974" s="631"/>
      <c r="B974" s="631"/>
      <c r="C974" s="631"/>
      <c r="D974" s="631"/>
      <c r="E974" s="631"/>
      <c r="F974" s="631"/>
      <c r="G974" s="631"/>
      <c r="H974" s="631"/>
    </row>
    <row r="975" spans="1:8" x14ac:dyDescent="0.2">
      <c r="A975" s="631"/>
      <c r="B975" s="631"/>
      <c r="C975" s="631"/>
      <c r="D975" s="631"/>
      <c r="E975" s="631"/>
      <c r="F975" s="631"/>
      <c r="G975" s="631"/>
      <c r="H975" s="631"/>
    </row>
    <row r="976" spans="1:8" x14ac:dyDescent="0.2">
      <c r="A976" s="631"/>
      <c r="B976" s="631"/>
      <c r="C976" s="631"/>
      <c r="D976" s="631"/>
      <c r="E976" s="631"/>
      <c r="F976" s="631"/>
      <c r="G976" s="631"/>
      <c r="H976" s="631"/>
    </row>
    <row r="977" spans="1:8" x14ac:dyDescent="0.2">
      <c r="A977" s="631"/>
      <c r="B977" s="631"/>
      <c r="C977" s="631"/>
      <c r="D977" s="631"/>
      <c r="E977" s="631"/>
      <c r="F977" s="631"/>
      <c r="G977" s="631"/>
      <c r="H977" s="631"/>
    </row>
    <row r="978" spans="1:8" x14ac:dyDescent="0.2">
      <c r="A978" s="631"/>
      <c r="B978" s="631"/>
      <c r="C978" s="631"/>
      <c r="D978" s="631"/>
      <c r="E978" s="631"/>
      <c r="F978" s="631"/>
      <c r="G978" s="631"/>
      <c r="H978" s="631"/>
    </row>
    <row r="979" spans="1:8" x14ac:dyDescent="0.2">
      <c r="A979" s="631"/>
      <c r="B979" s="631"/>
      <c r="C979" s="631"/>
      <c r="D979" s="631"/>
      <c r="E979" s="631"/>
      <c r="F979" s="631"/>
      <c r="G979" s="631"/>
      <c r="H979" s="631"/>
    </row>
    <row r="980" spans="1:8" x14ac:dyDescent="0.2">
      <c r="A980" s="631"/>
      <c r="B980" s="631"/>
      <c r="C980" s="631"/>
      <c r="D980" s="631"/>
      <c r="E980" s="631"/>
      <c r="F980" s="631"/>
      <c r="G980" s="631"/>
      <c r="H980" s="631"/>
    </row>
    <row r="981" spans="1:8" x14ac:dyDescent="0.2">
      <c r="A981" s="631"/>
      <c r="B981" s="631"/>
      <c r="C981" s="631"/>
      <c r="D981" s="631"/>
      <c r="E981" s="631"/>
      <c r="F981" s="631"/>
      <c r="G981" s="631"/>
      <c r="H981" s="631"/>
    </row>
    <row r="982" spans="1:8" x14ac:dyDescent="0.2">
      <c r="A982" s="631"/>
      <c r="B982" s="631"/>
      <c r="C982" s="631"/>
      <c r="D982" s="631"/>
      <c r="E982" s="631"/>
      <c r="F982" s="631"/>
      <c r="G982" s="631"/>
      <c r="H982" s="631"/>
    </row>
    <row r="983" spans="1:8" x14ac:dyDescent="0.2">
      <c r="A983" s="631"/>
      <c r="B983" s="631"/>
      <c r="C983" s="631"/>
      <c r="D983" s="631"/>
      <c r="E983" s="631"/>
      <c r="F983" s="631"/>
      <c r="G983" s="631"/>
      <c r="H983" s="631"/>
    </row>
    <row r="984" spans="1:8" x14ac:dyDescent="0.2">
      <c r="A984" s="631"/>
      <c r="B984" s="631"/>
      <c r="C984" s="631"/>
      <c r="D984" s="631"/>
      <c r="E984" s="631"/>
      <c r="F984" s="631"/>
      <c r="G984" s="631"/>
      <c r="H984" s="631"/>
    </row>
    <row r="985" spans="1:8" x14ac:dyDescent="0.2">
      <c r="A985" s="631"/>
      <c r="B985" s="631"/>
      <c r="C985" s="631"/>
      <c r="D985" s="631"/>
      <c r="E985" s="631"/>
      <c r="F985" s="631"/>
      <c r="G985" s="631"/>
      <c r="H985" s="631"/>
    </row>
    <row r="986" spans="1:8" x14ac:dyDescent="0.2">
      <c r="A986" s="631"/>
      <c r="B986" s="631"/>
      <c r="C986" s="631"/>
      <c r="D986" s="631"/>
      <c r="E986" s="631"/>
      <c r="F986" s="631"/>
      <c r="G986" s="631"/>
      <c r="H986" s="631"/>
    </row>
    <row r="987" spans="1:8" x14ac:dyDescent="0.2">
      <c r="A987" s="631"/>
      <c r="B987" s="631"/>
      <c r="C987" s="631"/>
      <c r="D987" s="631"/>
      <c r="E987" s="631"/>
      <c r="F987" s="631"/>
      <c r="G987" s="631"/>
      <c r="H987" s="631"/>
    </row>
    <row r="988" spans="1:8" x14ac:dyDescent="0.2">
      <c r="A988" s="631"/>
      <c r="B988" s="631"/>
      <c r="C988" s="631"/>
      <c r="D988" s="631"/>
      <c r="E988" s="631"/>
      <c r="F988" s="631"/>
      <c r="G988" s="631"/>
      <c r="H988" s="631"/>
    </row>
    <row r="989" spans="1:8" x14ac:dyDescent="0.2">
      <c r="A989" s="631"/>
      <c r="B989" s="631"/>
      <c r="C989" s="631"/>
      <c r="D989" s="631"/>
      <c r="E989" s="631"/>
      <c r="F989" s="631"/>
      <c r="G989" s="631"/>
      <c r="H989" s="631"/>
    </row>
    <row r="990" spans="1:8" x14ac:dyDescent="0.2">
      <c r="A990" s="631"/>
      <c r="B990" s="631"/>
      <c r="C990" s="631"/>
      <c r="D990" s="631"/>
      <c r="E990" s="631"/>
      <c r="F990" s="631"/>
      <c r="G990" s="631"/>
      <c r="H990" s="631"/>
    </row>
    <row r="991" spans="1:8" x14ac:dyDescent="0.2">
      <c r="A991" s="631"/>
      <c r="B991" s="631"/>
      <c r="C991" s="631"/>
      <c r="D991" s="631"/>
      <c r="E991" s="631"/>
      <c r="F991" s="631"/>
      <c r="G991" s="631"/>
      <c r="H991" s="631"/>
    </row>
    <row r="992" spans="1:8" x14ac:dyDescent="0.2">
      <c r="A992" s="631"/>
      <c r="B992" s="631"/>
      <c r="C992" s="631"/>
      <c r="D992" s="631"/>
      <c r="E992" s="631"/>
      <c r="F992" s="631"/>
      <c r="G992" s="631"/>
      <c r="H992" s="631"/>
    </row>
    <row r="993" spans="1:8" x14ac:dyDescent="0.2">
      <c r="A993" s="631"/>
      <c r="B993" s="631"/>
      <c r="C993" s="631"/>
      <c r="D993" s="631"/>
      <c r="E993" s="631"/>
      <c r="F993" s="631"/>
      <c r="G993" s="631"/>
      <c r="H993" s="631"/>
    </row>
    <row r="994" spans="1:8" x14ac:dyDescent="0.2">
      <c r="A994" s="631"/>
      <c r="B994" s="631"/>
      <c r="C994" s="631"/>
      <c r="D994" s="631"/>
      <c r="E994" s="631"/>
      <c r="F994" s="631"/>
      <c r="G994" s="631"/>
      <c r="H994" s="631"/>
    </row>
    <row r="995" spans="1:8" x14ac:dyDescent="0.2">
      <c r="A995" s="631"/>
      <c r="B995" s="631"/>
      <c r="C995" s="631"/>
      <c r="D995" s="631"/>
      <c r="E995" s="631"/>
      <c r="F995" s="631"/>
      <c r="G995" s="631"/>
      <c r="H995" s="631"/>
    </row>
    <row r="996" spans="1:8" x14ac:dyDescent="0.2">
      <c r="A996" s="631"/>
      <c r="B996" s="631"/>
      <c r="C996" s="631"/>
      <c r="D996" s="631"/>
      <c r="E996" s="631"/>
      <c r="F996" s="631"/>
      <c r="G996" s="631"/>
      <c r="H996" s="631"/>
    </row>
    <row r="997" spans="1:8" x14ac:dyDescent="0.2">
      <c r="A997" s="631"/>
      <c r="B997" s="631"/>
      <c r="C997" s="631"/>
      <c r="D997" s="631"/>
      <c r="E997" s="631"/>
      <c r="F997" s="631"/>
      <c r="G997" s="631"/>
      <c r="H997" s="631"/>
    </row>
    <row r="998" spans="1:8" x14ac:dyDescent="0.2">
      <c r="A998" s="631"/>
      <c r="B998" s="631"/>
      <c r="C998" s="631"/>
      <c r="D998" s="631"/>
      <c r="E998" s="631"/>
      <c r="F998" s="631"/>
      <c r="G998" s="631"/>
      <c r="H998" s="631"/>
    </row>
    <row r="999" spans="1:8" x14ac:dyDescent="0.2">
      <c r="A999" s="631"/>
      <c r="B999" s="631"/>
      <c r="C999" s="631"/>
      <c r="D999" s="631"/>
      <c r="E999" s="631"/>
      <c r="F999" s="631"/>
      <c r="G999" s="631"/>
      <c r="H999" s="631"/>
    </row>
    <row r="1000" spans="1:8" x14ac:dyDescent="0.2">
      <c r="A1000" s="631"/>
      <c r="B1000" s="631"/>
      <c r="C1000" s="631"/>
      <c r="D1000" s="631"/>
      <c r="E1000" s="631"/>
      <c r="F1000" s="631"/>
      <c r="G1000" s="631"/>
      <c r="H1000" s="631"/>
    </row>
    <row r="1001" spans="1:8" x14ac:dyDescent="0.2">
      <c r="A1001" s="631"/>
      <c r="B1001" s="631"/>
      <c r="C1001" s="631"/>
      <c r="D1001" s="631"/>
      <c r="E1001" s="631"/>
      <c r="F1001" s="631"/>
      <c r="G1001" s="631"/>
      <c r="H1001" s="631"/>
    </row>
    <row r="1002" spans="1:8" x14ac:dyDescent="0.2">
      <c r="A1002" s="631"/>
      <c r="B1002" s="631"/>
      <c r="C1002" s="631"/>
      <c r="D1002" s="631"/>
      <c r="E1002" s="631"/>
      <c r="F1002" s="631"/>
      <c r="G1002" s="631"/>
      <c r="H1002" s="631"/>
    </row>
    <row r="1003" spans="1:8" x14ac:dyDescent="0.2">
      <c r="A1003" s="631"/>
      <c r="B1003" s="631"/>
      <c r="C1003" s="631"/>
      <c r="D1003" s="631"/>
      <c r="E1003" s="631"/>
      <c r="F1003" s="631"/>
      <c r="G1003" s="631"/>
      <c r="H1003" s="631"/>
    </row>
    <row r="1004" spans="1:8" x14ac:dyDescent="0.2">
      <c r="A1004" s="631"/>
      <c r="B1004" s="631"/>
      <c r="C1004" s="631"/>
      <c r="D1004" s="631"/>
      <c r="E1004" s="631"/>
      <c r="F1004" s="631"/>
      <c r="G1004" s="631"/>
      <c r="H1004" s="631"/>
    </row>
    <row r="1005" spans="1:8" x14ac:dyDescent="0.2">
      <c r="A1005" s="631"/>
      <c r="B1005" s="631"/>
      <c r="C1005" s="631"/>
      <c r="D1005" s="631"/>
      <c r="E1005" s="631"/>
      <c r="F1005" s="631"/>
      <c r="G1005" s="631"/>
      <c r="H1005" s="631"/>
    </row>
    <row r="1006" spans="1:8" x14ac:dyDescent="0.2">
      <c r="A1006" s="631"/>
      <c r="B1006" s="631"/>
      <c r="C1006" s="631"/>
      <c r="D1006" s="631"/>
      <c r="E1006" s="631"/>
      <c r="F1006" s="631"/>
      <c r="G1006" s="631"/>
      <c r="H1006" s="631"/>
    </row>
    <row r="1007" spans="1:8" x14ac:dyDescent="0.2">
      <c r="A1007" s="631"/>
      <c r="B1007" s="631"/>
      <c r="C1007" s="631"/>
      <c r="D1007" s="631"/>
      <c r="E1007" s="631"/>
      <c r="F1007" s="631"/>
      <c r="G1007" s="631"/>
      <c r="H1007" s="631"/>
    </row>
    <row r="1008" spans="1:8" x14ac:dyDescent="0.2">
      <c r="A1008" s="631"/>
      <c r="B1008" s="631"/>
      <c r="C1008" s="631"/>
      <c r="D1008" s="631"/>
      <c r="E1008" s="631"/>
      <c r="F1008" s="631"/>
      <c r="G1008" s="631"/>
      <c r="H1008" s="631"/>
    </row>
    <row r="1009" spans="1:8" x14ac:dyDescent="0.2">
      <c r="A1009" s="631"/>
      <c r="B1009" s="631"/>
      <c r="C1009" s="631"/>
      <c r="D1009" s="631"/>
      <c r="E1009" s="631"/>
      <c r="F1009" s="631"/>
      <c r="G1009" s="631"/>
      <c r="H1009" s="631"/>
    </row>
    <row r="1010" spans="1:8" x14ac:dyDescent="0.2">
      <c r="A1010" s="631"/>
      <c r="B1010" s="631"/>
      <c r="C1010" s="631"/>
      <c r="D1010" s="631"/>
      <c r="E1010" s="631"/>
      <c r="F1010" s="631"/>
      <c r="G1010" s="631"/>
      <c r="H1010" s="631"/>
    </row>
    <row r="1011" spans="1:8" x14ac:dyDescent="0.2">
      <c r="A1011" s="631"/>
      <c r="B1011" s="631"/>
      <c r="C1011" s="631"/>
      <c r="D1011" s="631"/>
      <c r="E1011" s="631"/>
      <c r="F1011" s="631"/>
      <c r="G1011" s="631"/>
      <c r="H1011" s="631"/>
    </row>
    <row r="1012" spans="1:8" x14ac:dyDescent="0.2">
      <c r="A1012" s="631"/>
      <c r="B1012" s="631"/>
      <c r="C1012" s="631"/>
      <c r="D1012" s="631"/>
      <c r="E1012" s="631"/>
      <c r="F1012" s="631"/>
      <c r="G1012" s="631"/>
      <c r="H1012" s="631"/>
    </row>
    <row r="1013" spans="1:8" x14ac:dyDescent="0.2">
      <c r="A1013" s="631"/>
      <c r="B1013" s="631"/>
      <c r="C1013" s="631"/>
      <c r="D1013" s="631"/>
      <c r="E1013" s="631"/>
      <c r="F1013" s="631"/>
      <c r="G1013" s="631"/>
      <c r="H1013" s="631"/>
    </row>
    <row r="1014" spans="1:8" x14ac:dyDescent="0.2">
      <c r="A1014" s="631"/>
      <c r="B1014" s="631"/>
      <c r="C1014" s="631"/>
      <c r="D1014" s="631"/>
      <c r="E1014" s="631"/>
      <c r="F1014" s="631"/>
      <c r="G1014" s="631"/>
      <c r="H1014" s="631"/>
    </row>
    <row r="1015" spans="1:8" x14ac:dyDescent="0.2">
      <c r="A1015" s="631"/>
      <c r="B1015" s="631"/>
      <c r="C1015" s="631"/>
      <c r="D1015" s="631"/>
      <c r="E1015" s="631"/>
      <c r="F1015" s="631"/>
      <c r="G1015" s="631"/>
      <c r="H1015" s="631"/>
    </row>
    <row r="1016" spans="1:8" x14ac:dyDescent="0.2">
      <c r="A1016" s="631"/>
      <c r="B1016" s="631"/>
      <c r="C1016" s="631"/>
      <c r="D1016" s="631"/>
      <c r="E1016" s="631"/>
      <c r="F1016" s="631"/>
      <c r="G1016" s="631"/>
      <c r="H1016" s="631"/>
    </row>
    <row r="1017" spans="1:8" x14ac:dyDescent="0.2">
      <c r="A1017" s="631"/>
      <c r="B1017" s="631"/>
      <c r="C1017" s="631"/>
      <c r="D1017" s="631"/>
      <c r="E1017" s="631"/>
      <c r="F1017" s="631"/>
      <c r="G1017" s="631"/>
      <c r="H1017" s="631"/>
    </row>
    <row r="1018" spans="1:8" x14ac:dyDescent="0.2">
      <c r="A1018" s="631"/>
      <c r="B1018" s="631"/>
      <c r="C1018" s="631"/>
      <c r="D1018" s="631"/>
      <c r="E1018" s="631"/>
      <c r="F1018" s="631"/>
      <c r="G1018" s="631"/>
      <c r="H1018" s="631"/>
    </row>
    <row r="1019" spans="1:8" x14ac:dyDescent="0.2">
      <c r="A1019" s="631"/>
      <c r="B1019" s="631"/>
      <c r="C1019" s="631"/>
      <c r="D1019" s="631"/>
      <c r="E1019" s="631"/>
      <c r="F1019" s="631"/>
      <c r="G1019" s="631"/>
      <c r="H1019" s="631"/>
    </row>
    <row r="1020" spans="1:8" x14ac:dyDescent="0.2">
      <c r="A1020" s="631"/>
      <c r="B1020" s="631"/>
      <c r="C1020" s="631"/>
      <c r="D1020" s="631"/>
      <c r="E1020" s="631"/>
      <c r="F1020" s="631"/>
      <c r="G1020" s="631"/>
      <c r="H1020" s="631"/>
    </row>
    <row r="1021" spans="1:8" x14ac:dyDescent="0.2">
      <c r="A1021" s="631"/>
      <c r="B1021" s="631"/>
      <c r="C1021" s="631"/>
      <c r="D1021" s="631"/>
      <c r="E1021" s="631"/>
      <c r="F1021" s="631"/>
      <c r="G1021" s="631"/>
      <c r="H1021" s="631"/>
    </row>
    <row r="1022" spans="1:8" x14ac:dyDescent="0.2">
      <c r="A1022" s="631"/>
      <c r="B1022" s="631"/>
      <c r="C1022" s="631"/>
      <c r="D1022" s="631"/>
      <c r="E1022" s="631"/>
      <c r="F1022" s="631"/>
      <c r="G1022" s="631"/>
      <c r="H1022" s="631"/>
    </row>
    <row r="1023" spans="1:8" x14ac:dyDescent="0.2">
      <c r="A1023" s="631"/>
      <c r="B1023" s="631"/>
      <c r="C1023" s="631"/>
      <c r="D1023" s="631"/>
      <c r="E1023" s="631"/>
      <c r="F1023" s="631"/>
      <c r="G1023" s="631"/>
      <c r="H1023" s="631"/>
    </row>
    <row r="1024" spans="1:8" x14ac:dyDescent="0.2">
      <c r="A1024" s="631"/>
      <c r="B1024" s="631"/>
      <c r="C1024" s="631"/>
      <c r="D1024" s="631"/>
      <c r="E1024" s="631"/>
      <c r="F1024" s="631"/>
      <c r="G1024" s="631"/>
      <c r="H1024" s="631"/>
    </row>
    <row r="1025" spans="1:8" x14ac:dyDescent="0.2">
      <c r="A1025" s="631"/>
      <c r="B1025" s="631"/>
      <c r="C1025" s="631"/>
      <c r="D1025" s="631"/>
      <c r="E1025" s="631"/>
      <c r="F1025" s="631"/>
      <c r="G1025" s="631"/>
      <c r="H1025" s="631"/>
    </row>
    <row r="1026" spans="1:8" x14ac:dyDescent="0.2">
      <c r="A1026" s="631"/>
      <c r="B1026" s="631"/>
      <c r="C1026" s="631"/>
      <c r="D1026" s="631"/>
      <c r="E1026" s="631"/>
      <c r="F1026" s="631"/>
      <c r="G1026" s="631"/>
      <c r="H1026" s="631"/>
    </row>
    <row r="1027" spans="1:8" x14ac:dyDescent="0.2">
      <c r="A1027" s="631"/>
      <c r="B1027" s="631"/>
      <c r="C1027" s="631"/>
      <c r="D1027" s="631"/>
      <c r="E1027" s="631"/>
      <c r="F1027" s="631"/>
      <c r="G1027" s="631"/>
      <c r="H1027" s="631"/>
    </row>
    <row r="1028" spans="1:8" x14ac:dyDescent="0.2">
      <c r="A1028" s="631"/>
      <c r="B1028" s="631"/>
      <c r="C1028" s="631"/>
      <c r="D1028" s="631"/>
      <c r="E1028" s="631"/>
      <c r="F1028" s="631"/>
      <c r="G1028" s="631"/>
      <c r="H1028" s="631"/>
    </row>
    <row r="1029" spans="1:8" x14ac:dyDescent="0.2">
      <c r="A1029" s="631"/>
      <c r="B1029" s="631"/>
      <c r="C1029" s="631"/>
      <c r="D1029" s="631"/>
      <c r="E1029" s="631"/>
      <c r="F1029" s="631"/>
      <c r="G1029" s="631"/>
      <c r="H1029" s="631"/>
    </row>
    <row r="1030" spans="1:8" x14ac:dyDescent="0.2">
      <c r="A1030" s="631"/>
      <c r="B1030" s="631"/>
      <c r="C1030" s="631"/>
      <c r="D1030" s="631"/>
      <c r="E1030" s="631"/>
      <c r="F1030" s="631"/>
      <c r="G1030" s="631"/>
      <c r="H1030" s="631"/>
    </row>
    <row r="1031" spans="1:8" x14ac:dyDescent="0.2">
      <c r="A1031" s="631"/>
      <c r="B1031" s="631"/>
      <c r="C1031" s="631"/>
      <c r="D1031" s="631"/>
      <c r="E1031" s="631"/>
      <c r="F1031" s="631"/>
      <c r="G1031" s="631"/>
      <c r="H1031" s="631"/>
    </row>
    <row r="1032" spans="1:8" x14ac:dyDescent="0.2">
      <c r="A1032" s="631"/>
      <c r="B1032" s="631"/>
      <c r="C1032" s="631"/>
      <c r="D1032" s="631"/>
      <c r="E1032" s="631"/>
      <c r="F1032" s="631"/>
      <c r="G1032" s="631"/>
      <c r="H1032" s="631"/>
    </row>
    <row r="1033" spans="1:8" x14ac:dyDescent="0.2">
      <c r="A1033" s="631"/>
      <c r="B1033" s="631"/>
      <c r="C1033" s="631"/>
      <c r="D1033" s="631"/>
      <c r="E1033" s="631"/>
      <c r="F1033" s="631"/>
      <c r="G1033" s="631"/>
      <c r="H1033" s="631"/>
    </row>
    <row r="1034" spans="1:8" x14ac:dyDescent="0.2">
      <c r="A1034" s="631"/>
      <c r="B1034" s="631"/>
      <c r="C1034" s="631"/>
      <c r="D1034" s="631"/>
      <c r="E1034" s="631"/>
      <c r="F1034" s="631"/>
      <c r="G1034" s="631"/>
      <c r="H1034" s="631"/>
    </row>
    <row r="1035" spans="1:8" x14ac:dyDescent="0.2">
      <c r="A1035" s="631"/>
      <c r="B1035" s="631"/>
      <c r="C1035" s="631"/>
      <c r="D1035" s="631"/>
      <c r="E1035" s="631"/>
      <c r="F1035" s="631"/>
      <c r="G1035" s="631"/>
      <c r="H1035" s="631"/>
    </row>
    <row r="1036" spans="1:8" x14ac:dyDescent="0.2">
      <c r="A1036" s="631"/>
      <c r="B1036" s="631"/>
      <c r="C1036" s="631"/>
      <c r="D1036" s="631"/>
      <c r="E1036" s="631"/>
      <c r="F1036" s="631"/>
      <c r="G1036" s="631"/>
      <c r="H1036" s="631"/>
    </row>
    <row r="1037" spans="1:8" x14ac:dyDescent="0.2">
      <c r="A1037" s="631"/>
      <c r="B1037" s="631"/>
      <c r="C1037" s="631"/>
      <c r="D1037" s="631"/>
      <c r="E1037" s="631"/>
      <c r="F1037" s="631"/>
      <c r="G1037" s="631"/>
      <c r="H1037" s="631"/>
    </row>
    <row r="1038" spans="1:8" x14ac:dyDescent="0.2">
      <c r="A1038" s="631"/>
      <c r="B1038" s="631"/>
      <c r="C1038" s="631"/>
      <c r="D1038" s="631"/>
      <c r="E1038" s="631"/>
      <c r="F1038" s="631"/>
      <c r="G1038" s="631"/>
      <c r="H1038" s="631"/>
    </row>
    <row r="1039" spans="1:8" x14ac:dyDescent="0.2">
      <c r="A1039" s="631"/>
      <c r="B1039" s="631"/>
      <c r="C1039" s="631"/>
      <c r="D1039" s="631"/>
      <c r="E1039" s="631"/>
      <c r="F1039" s="631"/>
      <c r="G1039" s="631"/>
      <c r="H1039" s="631"/>
    </row>
    <row r="1040" spans="1:8" x14ac:dyDescent="0.2">
      <c r="A1040" s="631"/>
      <c r="B1040" s="631"/>
      <c r="C1040" s="631"/>
      <c r="D1040" s="631"/>
      <c r="E1040" s="631"/>
      <c r="F1040" s="631"/>
      <c r="G1040" s="631"/>
      <c r="H1040" s="631"/>
    </row>
    <row r="1041" spans="1:8" x14ac:dyDescent="0.2">
      <c r="A1041" s="631"/>
      <c r="B1041" s="631"/>
      <c r="C1041" s="631"/>
      <c r="D1041" s="631"/>
      <c r="E1041" s="631"/>
      <c r="F1041" s="631"/>
      <c r="G1041" s="631"/>
      <c r="H1041" s="631"/>
    </row>
    <row r="1042" spans="1:8" x14ac:dyDescent="0.2">
      <c r="A1042" s="631"/>
      <c r="B1042" s="631"/>
      <c r="C1042" s="631"/>
      <c r="D1042" s="631"/>
      <c r="E1042" s="631"/>
      <c r="F1042" s="631"/>
      <c r="G1042" s="631"/>
      <c r="H1042" s="631"/>
    </row>
    <row r="1043" spans="1:8" x14ac:dyDescent="0.2">
      <c r="A1043" s="631"/>
      <c r="B1043" s="631"/>
      <c r="C1043" s="631"/>
      <c r="D1043" s="631"/>
      <c r="E1043" s="631"/>
      <c r="F1043" s="631"/>
      <c r="G1043" s="631"/>
      <c r="H1043" s="631"/>
    </row>
    <row r="1044" spans="1:8" x14ac:dyDescent="0.2">
      <c r="A1044" s="631"/>
      <c r="B1044" s="631"/>
      <c r="C1044" s="631"/>
      <c r="D1044" s="631"/>
      <c r="E1044" s="631"/>
      <c r="F1044" s="631"/>
      <c r="G1044" s="631"/>
      <c r="H1044" s="631"/>
    </row>
    <row r="1045" spans="1:8" x14ac:dyDescent="0.2">
      <c r="A1045" s="631"/>
      <c r="B1045" s="631"/>
      <c r="C1045" s="631"/>
      <c r="D1045" s="631"/>
      <c r="E1045" s="631"/>
      <c r="F1045" s="631"/>
      <c r="G1045" s="631"/>
      <c r="H1045" s="631"/>
    </row>
    <row r="1046" spans="1:8" x14ac:dyDescent="0.2">
      <c r="A1046" s="631"/>
      <c r="B1046" s="631"/>
      <c r="C1046" s="631"/>
      <c r="D1046" s="631"/>
      <c r="E1046" s="631"/>
      <c r="F1046" s="631"/>
      <c r="G1046" s="631"/>
      <c r="H1046" s="631"/>
    </row>
    <row r="1047" spans="1:8" x14ac:dyDescent="0.2">
      <c r="A1047" s="631"/>
      <c r="B1047" s="631"/>
      <c r="C1047" s="631"/>
      <c r="D1047" s="631"/>
      <c r="E1047" s="631"/>
      <c r="F1047" s="631"/>
      <c r="G1047" s="631"/>
      <c r="H1047" s="631"/>
    </row>
    <row r="1048" spans="1:8" x14ac:dyDescent="0.2">
      <c r="A1048" s="631"/>
      <c r="B1048" s="631"/>
      <c r="C1048" s="631"/>
      <c r="D1048" s="631"/>
      <c r="E1048" s="631"/>
      <c r="F1048" s="631"/>
      <c r="G1048" s="631"/>
      <c r="H1048" s="631"/>
    </row>
    <row r="1049" spans="1:8" x14ac:dyDescent="0.2">
      <c r="A1049" s="631"/>
      <c r="B1049" s="631"/>
      <c r="C1049" s="631"/>
      <c r="D1049" s="631"/>
      <c r="E1049" s="631"/>
      <c r="F1049" s="631"/>
      <c r="G1049" s="631"/>
      <c r="H1049" s="631"/>
    </row>
    <row r="1050" spans="1:8" x14ac:dyDescent="0.2">
      <c r="A1050" s="631"/>
      <c r="B1050" s="631"/>
      <c r="C1050" s="631"/>
      <c r="D1050" s="631"/>
      <c r="E1050" s="631"/>
      <c r="F1050" s="631"/>
      <c r="G1050" s="631"/>
      <c r="H1050" s="631"/>
    </row>
    <row r="1051" spans="1:8" x14ac:dyDescent="0.2">
      <c r="A1051" s="631"/>
      <c r="B1051" s="631"/>
      <c r="C1051" s="631"/>
      <c r="D1051" s="631"/>
      <c r="E1051" s="631"/>
      <c r="F1051" s="631"/>
      <c r="G1051" s="631"/>
      <c r="H1051" s="631"/>
    </row>
    <row r="1052" spans="1:8" x14ac:dyDescent="0.2">
      <c r="A1052" s="631"/>
      <c r="B1052" s="631"/>
      <c r="C1052" s="631"/>
      <c r="D1052" s="631"/>
      <c r="E1052" s="631"/>
      <c r="F1052" s="631"/>
      <c r="G1052" s="631"/>
      <c r="H1052" s="631"/>
    </row>
    <row r="1053" spans="1:8" x14ac:dyDescent="0.2">
      <c r="A1053" s="631"/>
      <c r="B1053" s="631"/>
      <c r="C1053" s="631"/>
      <c r="D1053" s="631"/>
      <c r="E1053" s="631"/>
      <c r="F1053" s="631"/>
      <c r="G1053" s="631"/>
      <c r="H1053" s="631"/>
    </row>
    <row r="1054" spans="1:8" x14ac:dyDescent="0.2">
      <c r="A1054" s="631"/>
      <c r="B1054" s="631"/>
      <c r="C1054" s="631"/>
      <c r="D1054" s="631"/>
      <c r="E1054" s="631"/>
      <c r="F1054" s="631"/>
      <c r="G1054" s="631"/>
      <c r="H1054" s="631"/>
    </row>
    <row r="1055" spans="1:8" x14ac:dyDescent="0.2">
      <c r="A1055" s="631"/>
      <c r="B1055" s="631"/>
      <c r="C1055" s="631"/>
      <c r="D1055" s="631"/>
      <c r="E1055" s="631"/>
      <c r="F1055" s="631"/>
      <c r="G1055" s="631"/>
      <c r="H1055" s="631"/>
    </row>
    <row r="1056" spans="1:8" x14ac:dyDescent="0.2">
      <c r="A1056" s="631"/>
      <c r="B1056" s="631"/>
      <c r="C1056" s="631"/>
      <c r="D1056" s="631"/>
      <c r="E1056" s="631"/>
      <c r="F1056" s="631"/>
      <c r="G1056" s="631"/>
      <c r="H1056" s="631"/>
    </row>
    <row r="1057" spans="1:8" x14ac:dyDescent="0.2">
      <c r="A1057" s="631"/>
      <c r="B1057" s="631"/>
      <c r="C1057" s="631"/>
      <c r="D1057" s="631"/>
      <c r="E1057" s="631"/>
      <c r="F1057" s="631"/>
      <c r="G1057" s="631"/>
      <c r="H1057" s="631"/>
    </row>
    <row r="1058" spans="1:8" x14ac:dyDescent="0.2">
      <c r="A1058" s="631"/>
      <c r="B1058" s="631"/>
      <c r="C1058" s="631"/>
      <c r="D1058" s="631"/>
      <c r="E1058" s="631"/>
      <c r="F1058" s="631"/>
      <c r="G1058" s="631"/>
      <c r="H1058" s="631"/>
    </row>
    <row r="1059" spans="1:8" x14ac:dyDescent="0.2">
      <c r="A1059" s="631"/>
      <c r="B1059" s="631"/>
      <c r="C1059" s="631"/>
      <c r="D1059" s="631"/>
      <c r="E1059" s="631"/>
      <c r="F1059" s="631"/>
      <c r="G1059" s="631"/>
      <c r="H1059" s="631"/>
    </row>
    <row r="1060" spans="1:8" x14ac:dyDescent="0.2">
      <c r="A1060" s="631"/>
      <c r="B1060" s="631"/>
      <c r="C1060" s="631"/>
      <c r="D1060" s="631"/>
      <c r="E1060" s="631"/>
      <c r="F1060" s="631"/>
      <c r="G1060" s="631"/>
      <c r="H1060" s="631"/>
    </row>
    <row r="1061" spans="1:8" x14ac:dyDescent="0.2">
      <c r="A1061" s="631"/>
      <c r="B1061" s="631"/>
      <c r="C1061" s="631"/>
      <c r="D1061" s="631"/>
      <c r="E1061" s="631"/>
      <c r="F1061" s="631"/>
      <c r="G1061" s="631"/>
      <c r="H1061" s="631"/>
    </row>
    <row r="1062" spans="1:8" x14ac:dyDescent="0.2">
      <c r="A1062" s="631"/>
      <c r="B1062" s="631"/>
      <c r="C1062" s="631"/>
      <c r="D1062" s="631"/>
      <c r="E1062" s="631"/>
      <c r="F1062" s="631"/>
      <c r="G1062" s="631"/>
      <c r="H1062" s="631"/>
    </row>
    <row r="1063" spans="1:8" x14ac:dyDescent="0.2">
      <c r="A1063" s="631"/>
      <c r="B1063" s="631"/>
      <c r="C1063" s="631"/>
      <c r="D1063" s="631"/>
      <c r="E1063" s="631"/>
      <c r="F1063" s="631"/>
      <c r="G1063" s="631"/>
      <c r="H1063" s="631"/>
    </row>
    <row r="1064" spans="1:8" x14ac:dyDescent="0.2">
      <c r="A1064" s="631"/>
      <c r="B1064" s="631"/>
      <c r="C1064" s="631"/>
      <c r="D1064" s="631"/>
      <c r="E1064" s="631"/>
      <c r="F1064" s="631"/>
      <c r="G1064" s="631"/>
      <c r="H1064" s="631"/>
    </row>
    <row r="1065" spans="1:8" x14ac:dyDescent="0.2">
      <c r="A1065" s="631"/>
      <c r="B1065" s="631"/>
      <c r="C1065" s="631"/>
      <c r="D1065" s="631"/>
      <c r="E1065" s="631"/>
      <c r="F1065" s="631"/>
      <c r="G1065" s="631"/>
      <c r="H1065" s="631"/>
    </row>
    <row r="1066" spans="1:8" x14ac:dyDescent="0.2">
      <c r="A1066" s="631"/>
      <c r="B1066" s="631"/>
      <c r="C1066" s="631"/>
      <c r="D1066" s="631"/>
      <c r="E1066" s="631"/>
      <c r="F1066" s="631"/>
      <c r="G1066" s="631"/>
      <c r="H1066" s="631"/>
    </row>
    <row r="1067" spans="1:8" x14ac:dyDescent="0.2">
      <c r="A1067" s="631"/>
      <c r="B1067" s="631"/>
      <c r="C1067" s="631"/>
      <c r="D1067" s="631"/>
      <c r="E1067" s="631"/>
      <c r="F1067" s="631"/>
      <c r="G1067" s="631"/>
      <c r="H1067" s="631"/>
    </row>
    <row r="1068" spans="1:8" x14ac:dyDescent="0.2">
      <c r="A1068" s="631"/>
      <c r="B1068" s="631"/>
      <c r="C1068" s="631"/>
      <c r="D1068" s="631"/>
      <c r="E1068" s="631"/>
      <c r="F1068" s="631"/>
      <c r="G1068" s="631"/>
      <c r="H1068" s="631"/>
    </row>
    <row r="1069" spans="1:8" x14ac:dyDescent="0.2">
      <c r="A1069" s="631"/>
      <c r="B1069" s="631"/>
      <c r="C1069" s="631"/>
      <c r="D1069" s="631"/>
      <c r="E1069" s="631"/>
      <c r="F1069" s="631"/>
      <c r="G1069" s="631"/>
      <c r="H1069" s="631"/>
    </row>
    <row r="1070" spans="1:8" x14ac:dyDescent="0.2">
      <c r="A1070" s="631"/>
      <c r="B1070" s="631"/>
      <c r="C1070" s="631"/>
      <c r="D1070" s="631"/>
      <c r="E1070" s="631"/>
      <c r="F1070" s="631"/>
      <c r="G1070" s="631"/>
      <c r="H1070" s="631"/>
    </row>
    <row r="1071" spans="1:8" x14ac:dyDescent="0.2">
      <c r="A1071" s="631"/>
      <c r="B1071" s="631"/>
      <c r="C1071" s="631"/>
      <c r="D1071" s="631"/>
      <c r="E1071" s="631"/>
      <c r="F1071" s="631"/>
      <c r="G1071" s="631"/>
      <c r="H1071" s="631"/>
    </row>
    <row r="1072" spans="1:8" x14ac:dyDescent="0.2">
      <c r="A1072" s="631"/>
      <c r="B1072" s="631"/>
      <c r="C1072" s="631"/>
      <c r="D1072" s="631"/>
      <c r="E1072" s="631"/>
      <c r="F1072" s="631"/>
      <c r="G1072" s="631"/>
      <c r="H1072" s="631"/>
    </row>
    <row r="1073" spans="1:8" x14ac:dyDescent="0.2">
      <c r="A1073" s="631"/>
      <c r="B1073" s="631"/>
      <c r="C1073" s="631"/>
      <c r="D1073" s="631"/>
      <c r="E1073" s="631"/>
      <c r="F1073" s="631"/>
      <c r="G1073" s="631"/>
      <c r="H1073" s="631"/>
    </row>
    <row r="1074" spans="1:8" x14ac:dyDescent="0.2">
      <c r="A1074" s="631"/>
      <c r="B1074" s="631"/>
      <c r="C1074" s="631"/>
      <c r="D1074" s="631"/>
      <c r="E1074" s="631"/>
      <c r="F1074" s="631"/>
      <c r="G1074" s="631"/>
      <c r="H1074" s="631"/>
    </row>
    <row r="1075" spans="1:8" x14ac:dyDescent="0.2">
      <c r="A1075" s="631"/>
      <c r="B1075" s="631"/>
      <c r="C1075" s="631"/>
      <c r="D1075" s="631"/>
      <c r="E1075" s="631"/>
      <c r="F1075" s="631"/>
      <c r="G1075" s="631"/>
      <c r="H1075" s="631"/>
    </row>
    <row r="1076" spans="1:8" x14ac:dyDescent="0.2">
      <c r="A1076" s="631"/>
      <c r="B1076" s="631"/>
      <c r="C1076" s="631"/>
      <c r="D1076" s="631"/>
      <c r="E1076" s="631"/>
      <c r="F1076" s="631"/>
      <c r="G1076" s="631"/>
      <c r="H1076" s="631"/>
    </row>
    <row r="1077" spans="1:8" x14ac:dyDescent="0.2">
      <c r="A1077" s="631"/>
      <c r="B1077" s="631"/>
      <c r="C1077" s="631"/>
      <c r="D1077" s="631"/>
      <c r="E1077" s="631"/>
      <c r="F1077" s="631"/>
      <c r="G1077" s="631"/>
      <c r="H1077" s="631"/>
    </row>
    <row r="1078" spans="1:8" x14ac:dyDescent="0.2">
      <c r="A1078" s="631"/>
      <c r="B1078" s="631"/>
      <c r="C1078" s="631"/>
      <c r="D1078" s="631"/>
      <c r="E1078" s="631"/>
      <c r="F1078" s="631"/>
      <c r="G1078" s="631"/>
      <c r="H1078" s="631"/>
    </row>
    <row r="1079" spans="1:8" x14ac:dyDescent="0.2">
      <c r="A1079" s="631"/>
      <c r="B1079" s="631"/>
      <c r="C1079" s="631"/>
      <c r="D1079" s="631"/>
      <c r="E1079" s="631"/>
      <c r="F1079" s="631"/>
      <c r="G1079" s="631"/>
      <c r="H1079" s="631"/>
    </row>
    <row r="1080" spans="1:8" x14ac:dyDescent="0.2">
      <c r="A1080" s="631"/>
      <c r="B1080" s="631"/>
      <c r="C1080" s="631"/>
      <c r="D1080" s="631"/>
      <c r="E1080" s="631"/>
      <c r="F1080" s="631"/>
      <c r="G1080" s="631"/>
      <c r="H1080" s="631"/>
    </row>
    <row r="1081" spans="1:8" x14ac:dyDescent="0.2">
      <c r="A1081" s="631"/>
      <c r="B1081" s="631"/>
      <c r="C1081" s="631"/>
      <c r="D1081" s="631"/>
      <c r="E1081" s="631"/>
      <c r="F1081" s="631"/>
      <c r="G1081" s="631"/>
      <c r="H1081" s="631"/>
    </row>
    <row r="1082" spans="1:8" x14ac:dyDescent="0.2">
      <c r="A1082" s="631"/>
      <c r="B1082" s="631"/>
      <c r="C1082" s="631"/>
      <c r="D1082" s="631"/>
      <c r="E1082" s="631"/>
      <c r="F1082" s="631"/>
      <c r="G1082" s="631"/>
      <c r="H1082" s="631"/>
    </row>
    <row r="1083" spans="1:8" x14ac:dyDescent="0.2">
      <c r="A1083" s="631"/>
      <c r="B1083" s="631"/>
      <c r="C1083" s="631"/>
      <c r="D1083" s="631"/>
      <c r="E1083" s="631"/>
      <c r="F1083" s="631"/>
      <c r="G1083" s="631"/>
      <c r="H1083" s="631"/>
    </row>
    <row r="1084" spans="1:8" x14ac:dyDescent="0.2">
      <c r="A1084" s="631"/>
      <c r="B1084" s="631"/>
      <c r="C1084" s="631"/>
      <c r="D1084" s="631"/>
      <c r="E1084" s="631"/>
      <c r="F1084" s="631"/>
      <c r="G1084" s="631"/>
      <c r="H1084" s="631"/>
    </row>
    <row r="1085" spans="1:8" x14ac:dyDescent="0.2">
      <c r="A1085" s="631"/>
      <c r="B1085" s="631"/>
      <c r="C1085" s="631"/>
      <c r="D1085" s="631"/>
      <c r="E1085" s="631"/>
      <c r="F1085" s="631"/>
      <c r="G1085" s="631"/>
      <c r="H1085" s="631"/>
    </row>
    <row r="1086" spans="1:8" x14ac:dyDescent="0.2">
      <c r="A1086" s="631"/>
      <c r="B1086" s="631"/>
      <c r="C1086" s="631"/>
      <c r="D1086" s="631"/>
      <c r="E1086" s="631"/>
      <c r="F1086" s="631"/>
      <c r="G1086" s="631"/>
      <c r="H1086" s="631"/>
    </row>
    <row r="1087" spans="1:8" x14ac:dyDescent="0.2">
      <c r="A1087" s="631"/>
      <c r="B1087" s="631"/>
      <c r="C1087" s="631"/>
      <c r="D1087" s="631"/>
      <c r="E1087" s="631"/>
      <c r="F1087" s="631"/>
      <c r="G1087" s="631"/>
      <c r="H1087" s="631"/>
    </row>
    <row r="1088" spans="1:8" x14ac:dyDescent="0.2">
      <c r="A1088" s="631"/>
      <c r="B1088" s="631"/>
      <c r="C1088" s="631"/>
      <c r="D1088" s="631"/>
      <c r="E1088" s="631"/>
      <c r="F1088" s="631"/>
      <c r="G1088" s="631"/>
      <c r="H1088" s="631"/>
    </row>
    <row r="1089" spans="1:8" x14ac:dyDescent="0.2">
      <c r="A1089" s="631"/>
      <c r="B1089" s="631"/>
      <c r="C1089" s="631"/>
      <c r="D1089" s="631"/>
      <c r="E1089" s="631"/>
      <c r="F1089" s="631"/>
      <c r="G1089" s="631"/>
      <c r="H1089" s="631"/>
    </row>
    <row r="1090" spans="1:8" x14ac:dyDescent="0.2">
      <c r="A1090" s="631"/>
      <c r="B1090" s="631"/>
      <c r="C1090" s="631"/>
      <c r="D1090" s="631"/>
      <c r="E1090" s="631"/>
      <c r="F1090" s="631"/>
      <c r="G1090" s="631"/>
      <c r="H1090" s="631"/>
    </row>
    <row r="1091" spans="1:8" x14ac:dyDescent="0.2">
      <c r="A1091" s="631"/>
      <c r="B1091" s="631"/>
      <c r="C1091" s="631"/>
      <c r="D1091" s="631"/>
      <c r="E1091" s="631"/>
      <c r="F1091" s="631"/>
      <c r="G1091" s="631"/>
      <c r="H1091" s="631"/>
    </row>
    <row r="1092" spans="1:8" x14ac:dyDescent="0.2">
      <c r="A1092" s="631"/>
      <c r="B1092" s="631"/>
      <c r="C1092" s="631"/>
      <c r="D1092" s="631"/>
      <c r="E1092" s="631"/>
      <c r="F1092" s="631"/>
      <c r="G1092" s="631"/>
      <c r="H1092" s="631"/>
    </row>
    <row r="1093" spans="1:8" x14ac:dyDescent="0.2">
      <c r="A1093" s="631"/>
      <c r="B1093" s="631"/>
      <c r="C1093" s="631"/>
      <c r="D1093" s="631"/>
      <c r="E1093" s="631"/>
      <c r="F1093" s="631"/>
      <c r="G1093" s="631"/>
      <c r="H1093" s="631"/>
    </row>
    <row r="1094" spans="1:8" x14ac:dyDescent="0.2">
      <c r="A1094" s="631"/>
      <c r="B1094" s="631"/>
      <c r="C1094" s="631"/>
      <c r="D1094" s="631"/>
      <c r="E1094" s="631"/>
      <c r="F1094" s="631"/>
      <c r="G1094" s="631"/>
      <c r="H1094" s="631"/>
    </row>
    <row r="1095" spans="1:8" x14ac:dyDescent="0.2">
      <c r="A1095" s="631"/>
      <c r="B1095" s="631"/>
      <c r="C1095" s="631"/>
      <c r="D1095" s="631"/>
      <c r="E1095" s="631"/>
      <c r="F1095" s="631"/>
      <c r="G1095" s="631"/>
      <c r="H1095" s="631"/>
    </row>
    <row r="1096" spans="1:8" x14ac:dyDescent="0.2">
      <c r="A1096" s="631"/>
      <c r="B1096" s="631"/>
      <c r="C1096" s="631"/>
      <c r="D1096" s="631"/>
      <c r="E1096" s="631"/>
      <c r="F1096" s="631"/>
      <c r="G1096" s="631"/>
      <c r="H1096" s="631"/>
    </row>
    <row r="1097" spans="1:8" x14ac:dyDescent="0.2">
      <c r="A1097" s="631"/>
      <c r="B1097" s="631"/>
      <c r="C1097" s="631"/>
      <c r="D1097" s="631"/>
      <c r="E1097" s="631"/>
      <c r="F1097" s="631"/>
      <c r="G1097" s="631"/>
      <c r="H1097" s="631"/>
    </row>
    <row r="1098" spans="1:8" x14ac:dyDescent="0.2">
      <c r="A1098" s="631"/>
      <c r="B1098" s="631"/>
      <c r="C1098" s="631"/>
      <c r="D1098" s="631"/>
      <c r="E1098" s="631"/>
      <c r="F1098" s="631"/>
      <c r="G1098" s="631"/>
      <c r="H1098" s="631"/>
    </row>
    <row r="1099" spans="1:8" x14ac:dyDescent="0.2">
      <c r="A1099" s="631"/>
      <c r="B1099" s="631"/>
      <c r="C1099" s="631"/>
      <c r="D1099" s="631"/>
      <c r="E1099" s="631"/>
      <c r="F1099" s="631"/>
      <c r="G1099" s="631"/>
      <c r="H1099" s="631"/>
    </row>
    <row r="1100" spans="1:8" x14ac:dyDescent="0.2">
      <c r="A1100" s="631"/>
      <c r="B1100" s="631"/>
      <c r="C1100" s="631"/>
      <c r="D1100" s="631"/>
      <c r="E1100" s="631"/>
      <c r="F1100" s="631"/>
      <c r="G1100" s="631"/>
      <c r="H1100" s="631"/>
    </row>
    <row r="1101" spans="1:8" x14ac:dyDescent="0.2">
      <c r="A1101" s="631"/>
      <c r="B1101" s="631"/>
      <c r="C1101" s="631"/>
      <c r="D1101" s="631"/>
      <c r="E1101" s="631"/>
      <c r="F1101" s="631"/>
      <c r="G1101" s="631"/>
      <c r="H1101" s="631"/>
    </row>
    <row r="1102" spans="1:8" x14ac:dyDescent="0.2">
      <c r="A1102" s="631"/>
      <c r="B1102" s="631"/>
      <c r="C1102" s="631"/>
      <c r="D1102" s="631"/>
      <c r="E1102" s="631"/>
      <c r="F1102" s="631"/>
      <c r="G1102" s="631"/>
      <c r="H1102" s="631"/>
    </row>
    <row r="1103" spans="1:8" x14ac:dyDescent="0.2">
      <c r="A1103" s="631"/>
      <c r="B1103" s="631"/>
      <c r="C1103" s="631"/>
      <c r="D1103" s="631"/>
      <c r="E1103" s="631"/>
      <c r="F1103" s="631"/>
      <c r="G1103" s="631"/>
      <c r="H1103" s="631"/>
    </row>
    <row r="1104" spans="1:8" x14ac:dyDescent="0.2">
      <c r="A1104" s="631"/>
      <c r="B1104" s="631"/>
      <c r="C1104" s="631"/>
      <c r="D1104" s="631"/>
      <c r="E1104" s="631"/>
      <c r="F1104" s="631"/>
      <c r="G1104" s="631"/>
      <c r="H1104" s="631"/>
    </row>
    <row r="1105" spans="1:8" x14ac:dyDescent="0.2">
      <c r="A1105" s="631"/>
      <c r="B1105" s="631"/>
      <c r="C1105" s="631"/>
      <c r="D1105" s="631"/>
      <c r="E1105" s="631"/>
      <c r="F1105" s="631"/>
      <c r="G1105" s="631"/>
      <c r="H1105" s="631"/>
    </row>
    <row r="1106" spans="1:8" x14ac:dyDescent="0.2">
      <c r="A1106" s="631"/>
      <c r="B1106" s="631"/>
      <c r="C1106" s="631"/>
      <c r="D1106" s="631"/>
      <c r="E1106" s="631"/>
      <c r="F1106" s="631"/>
      <c r="G1106" s="631"/>
      <c r="H1106" s="631"/>
    </row>
    <row r="1107" spans="1:8" x14ac:dyDescent="0.2">
      <c r="A1107" s="631"/>
      <c r="B1107" s="631"/>
      <c r="C1107" s="631"/>
      <c r="D1107" s="631"/>
      <c r="E1107" s="631"/>
      <c r="F1107" s="631"/>
      <c r="G1107" s="631"/>
      <c r="H1107" s="631"/>
    </row>
    <row r="1108" spans="1:8" x14ac:dyDescent="0.2">
      <c r="A1108" s="631"/>
      <c r="B1108" s="631"/>
      <c r="C1108" s="631"/>
      <c r="D1108" s="631"/>
      <c r="E1108" s="631"/>
      <c r="F1108" s="631"/>
      <c r="G1108" s="631"/>
      <c r="H1108" s="631"/>
    </row>
    <row r="1109" spans="1:8" x14ac:dyDescent="0.2">
      <c r="A1109" s="631"/>
      <c r="B1109" s="631"/>
      <c r="C1109" s="631"/>
      <c r="D1109" s="631"/>
      <c r="E1109" s="631"/>
      <c r="F1109" s="631"/>
      <c r="G1109" s="631"/>
      <c r="H1109" s="631"/>
    </row>
    <row r="1110" spans="1:8" x14ac:dyDescent="0.2">
      <c r="A1110" s="631"/>
      <c r="B1110" s="631"/>
      <c r="C1110" s="631"/>
      <c r="D1110" s="631"/>
      <c r="E1110" s="631"/>
      <c r="F1110" s="631"/>
      <c r="G1110" s="631"/>
      <c r="H1110" s="631"/>
    </row>
    <row r="1111" spans="1:8" x14ac:dyDescent="0.2">
      <c r="A1111" s="631"/>
      <c r="B1111" s="631"/>
      <c r="C1111" s="631"/>
      <c r="D1111" s="631"/>
      <c r="E1111" s="631"/>
      <c r="F1111" s="631"/>
      <c r="G1111" s="631"/>
      <c r="H1111" s="631"/>
    </row>
    <row r="1112" spans="1:8" x14ac:dyDescent="0.2">
      <c r="A1112" s="631"/>
      <c r="B1112" s="631"/>
      <c r="C1112" s="631"/>
      <c r="D1112" s="631"/>
      <c r="E1112" s="631"/>
      <c r="F1112" s="631"/>
      <c r="G1112" s="631"/>
      <c r="H1112" s="631"/>
    </row>
    <row r="1113" spans="1:8" x14ac:dyDescent="0.2">
      <c r="A1113" s="631"/>
      <c r="B1113" s="631"/>
      <c r="C1113" s="631"/>
      <c r="D1113" s="631"/>
      <c r="E1113" s="631"/>
      <c r="F1113" s="631"/>
      <c r="G1113" s="631"/>
      <c r="H1113" s="631"/>
    </row>
    <row r="1114" spans="1:8" x14ac:dyDescent="0.2">
      <c r="A1114" s="631"/>
      <c r="B1114" s="631"/>
      <c r="C1114" s="631"/>
      <c r="D1114" s="631"/>
      <c r="E1114" s="631"/>
      <c r="F1114" s="631"/>
      <c r="G1114" s="631"/>
      <c r="H1114" s="631"/>
    </row>
    <row r="1115" spans="1:8" x14ac:dyDescent="0.2">
      <c r="A1115" s="631"/>
      <c r="B1115" s="631"/>
      <c r="C1115" s="631"/>
      <c r="D1115" s="631"/>
      <c r="E1115" s="631"/>
      <c r="F1115" s="631"/>
      <c r="G1115" s="631"/>
      <c r="H1115" s="631"/>
    </row>
    <row r="1116" spans="1:8" x14ac:dyDescent="0.2">
      <c r="A1116" s="631"/>
      <c r="B1116" s="631"/>
      <c r="C1116" s="631"/>
      <c r="D1116" s="631"/>
      <c r="E1116" s="631"/>
      <c r="F1116" s="631"/>
      <c r="G1116" s="631"/>
      <c r="H1116" s="631"/>
    </row>
    <row r="1117" spans="1:8" x14ac:dyDescent="0.2">
      <c r="A1117" s="631"/>
      <c r="B1117" s="631"/>
      <c r="C1117" s="631"/>
      <c r="D1117" s="631"/>
      <c r="E1117" s="631"/>
      <c r="F1117" s="631"/>
      <c r="G1117" s="631"/>
      <c r="H1117" s="631"/>
    </row>
    <row r="1118" spans="1:8" x14ac:dyDescent="0.2">
      <c r="A1118" s="631"/>
      <c r="B1118" s="631"/>
      <c r="C1118" s="631"/>
      <c r="D1118" s="631"/>
      <c r="E1118" s="631"/>
      <c r="F1118" s="631"/>
      <c r="G1118" s="631"/>
      <c r="H1118" s="631"/>
    </row>
    <row r="1119" spans="1:8" x14ac:dyDescent="0.2">
      <c r="A1119" s="631"/>
      <c r="B1119" s="631"/>
      <c r="C1119" s="631"/>
      <c r="D1119" s="631"/>
      <c r="E1119" s="631"/>
      <c r="F1119" s="631"/>
      <c r="G1119" s="631"/>
      <c r="H1119" s="631"/>
    </row>
    <row r="1120" spans="1:8" x14ac:dyDescent="0.2">
      <c r="A1120" s="631"/>
      <c r="B1120" s="631"/>
      <c r="C1120" s="631"/>
      <c r="D1120" s="631"/>
      <c r="E1120" s="631"/>
      <c r="F1120" s="631"/>
      <c r="G1120" s="631"/>
      <c r="H1120" s="631"/>
    </row>
    <row r="1121" spans="1:8" x14ac:dyDescent="0.2">
      <c r="A1121" s="631"/>
      <c r="B1121" s="631"/>
      <c r="C1121" s="631"/>
      <c r="D1121" s="631"/>
      <c r="E1121" s="631"/>
      <c r="F1121" s="631"/>
      <c r="G1121" s="631"/>
      <c r="H1121" s="631"/>
    </row>
    <row r="1122" spans="1:8" x14ac:dyDescent="0.2">
      <c r="A1122" s="631"/>
      <c r="B1122" s="631"/>
      <c r="C1122" s="631"/>
      <c r="D1122" s="631"/>
      <c r="E1122" s="631"/>
      <c r="F1122" s="631"/>
      <c r="G1122" s="631"/>
      <c r="H1122" s="631"/>
    </row>
    <row r="1123" spans="1:8" x14ac:dyDescent="0.2">
      <c r="A1123" s="631"/>
      <c r="B1123" s="631"/>
      <c r="C1123" s="631"/>
      <c r="D1123" s="631"/>
      <c r="E1123" s="631"/>
      <c r="F1123" s="631"/>
      <c r="G1123" s="631"/>
      <c r="H1123" s="631"/>
    </row>
    <row r="1124" spans="1:8" x14ac:dyDescent="0.2">
      <c r="A1124" s="631"/>
      <c r="B1124" s="631"/>
      <c r="C1124" s="631"/>
      <c r="D1124" s="631"/>
      <c r="E1124" s="631"/>
      <c r="F1124" s="631"/>
      <c r="G1124" s="631"/>
      <c r="H1124" s="631"/>
    </row>
    <row r="1125" spans="1:8" x14ac:dyDescent="0.2">
      <c r="A1125" s="631"/>
      <c r="B1125" s="631"/>
      <c r="C1125" s="631"/>
      <c r="D1125" s="631"/>
      <c r="E1125" s="631"/>
      <c r="F1125" s="631"/>
      <c r="G1125" s="631"/>
      <c r="H1125" s="631"/>
    </row>
    <row r="1126" spans="1:8" x14ac:dyDescent="0.2">
      <c r="A1126" s="631"/>
      <c r="B1126" s="631"/>
      <c r="C1126" s="631"/>
      <c r="D1126" s="631"/>
      <c r="E1126" s="631"/>
      <c r="F1126" s="631"/>
      <c r="G1126" s="631"/>
      <c r="H1126" s="631"/>
    </row>
    <row r="1127" spans="1:8" x14ac:dyDescent="0.2">
      <c r="A1127" s="631"/>
      <c r="B1127" s="631"/>
      <c r="C1127" s="631"/>
      <c r="D1127" s="631"/>
      <c r="E1127" s="631"/>
      <c r="F1127" s="631"/>
      <c r="G1127" s="631"/>
      <c r="H1127" s="631"/>
    </row>
    <row r="1128" spans="1:8" x14ac:dyDescent="0.2">
      <c r="A1128" s="631"/>
      <c r="B1128" s="631"/>
      <c r="C1128" s="631"/>
      <c r="D1128" s="631"/>
      <c r="E1128" s="631"/>
      <c r="F1128" s="631"/>
      <c r="G1128" s="631"/>
      <c r="H1128" s="631"/>
    </row>
    <row r="1129" spans="1:8" x14ac:dyDescent="0.2">
      <c r="A1129" s="631"/>
      <c r="B1129" s="631"/>
      <c r="C1129" s="631"/>
      <c r="D1129" s="631"/>
      <c r="E1129" s="631"/>
      <c r="F1129" s="631"/>
      <c r="G1129" s="631"/>
      <c r="H1129" s="631"/>
    </row>
    <row r="1130" spans="1:8" x14ac:dyDescent="0.2">
      <c r="A1130" s="631"/>
      <c r="B1130" s="631"/>
      <c r="C1130" s="631"/>
      <c r="D1130" s="631"/>
      <c r="E1130" s="631"/>
      <c r="F1130" s="631"/>
      <c r="G1130" s="631"/>
      <c r="H1130" s="631"/>
    </row>
    <row r="1131" spans="1:8" x14ac:dyDescent="0.2">
      <c r="A1131" s="631"/>
      <c r="B1131" s="631"/>
      <c r="C1131" s="631"/>
      <c r="D1131" s="631"/>
      <c r="E1131" s="631"/>
      <c r="F1131" s="631"/>
      <c r="G1131" s="631"/>
      <c r="H1131" s="631"/>
    </row>
    <row r="1132" spans="1:8" x14ac:dyDescent="0.2">
      <c r="A1132" s="631"/>
      <c r="B1132" s="631"/>
      <c r="C1132" s="631"/>
      <c r="D1132" s="631"/>
      <c r="E1132" s="631"/>
      <c r="F1132" s="631"/>
      <c r="G1132" s="631"/>
      <c r="H1132" s="631"/>
    </row>
    <row r="1133" spans="1:8" x14ac:dyDescent="0.2">
      <c r="A1133" s="631"/>
      <c r="B1133" s="631"/>
      <c r="C1133" s="631"/>
      <c r="D1133" s="631"/>
      <c r="E1133" s="631"/>
      <c r="F1133" s="631"/>
      <c r="G1133" s="631"/>
      <c r="H1133" s="631"/>
    </row>
    <row r="1134" spans="1:8" x14ac:dyDescent="0.2">
      <c r="A1134" s="631"/>
      <c r="B1134" s="631"/>
      <c r="C1134" s="631"/>
      <c r="D1134" s="631"/>
      <c r="E1134" s="631"/>
      <c r="F1134" s="631"/>
      <c r="G1134" s="631"/>
      <c r="H1134" s="631"/>
    </row>
    <row r="1135" spans="1:8" x14ac:dyDescent="0.2">
      <c r="A1135" s="631"/>
      <c r="B1135" s="631"/>
      <c r="C1135" s="631"/>
      <c r="D1135" s="631"/>
      <c r="E1135" s="631"/>
      <c r="F1135" s="631"/>
      <c r="G1135" s="631"/>
      <c r="H1135" s="631"/>
    </row>
    <row r="1136" spans="1:8" x14ac:dyDescent="0.2">
      <c r="A1136" s="631"/>
      <c r="B1136" s="631"/>
      <c r="C1136" s="631"/>
      <c r="D1136" s="631"/>
      <c r="E1136" s="631"/>
      <c r="F1136" s="631"/>
      <c r="G1136" s="631"/>
      <c r="H1136" s="631"/>
    </row>
    <row r="1137" spans="1:8" x14ac:dyDescent="0.2">
      <c r="A1137" s="631"/>
      <c r="B1137" s="631"/>
      <c r="C1137" s="631"/>
      <c r="D1137" s="631"/>
      <c r="E1137" s="631"/>
      <c r="F1137" s="631"/>
      <c r="G1137" s="631"/>
      <c r="H1137" s="631"/>
    </row>
    <row r="1138" spans="1:8" x14ac:dyDescent="0.2">
      <c r="A1138" s="631"/>
      <c r="B1138" s="631"/>
      <c r="C1138" s="631"/>
      <c r="D1138" s="631"/>
      <c r="E1138" s="631"/>
      <c r="F1138" s="631"/>
      <c r="G1138" s="631"/>
      <c r="H1138" s="631"/>
    </row>
    <row r="1139" spans="1:8" x14ac:dyDescent="0.2">
      <c r="A1139" s="631"/>
      <c r="B1139" s="631"/>
      <c r="C1139" s="631"/>
      <c r="D1139" s="631"/>
      <c r="E1139" s="631"/>
      <c r="F1139" s="631"/>
      <c r="G1139" s="631"/>
      <c r="H1139" s="631"/>
    </row>
    <row r="1140" spans="1:8" x14ac:dyDescent="0.2">
      <c r="A1140" s="631"/>
      <c r="B1140" s="631"/>
      <c r="C1140" s="631"/>
      <c r="D1140" s="631"/>
      <c r="E1140" s="631"/>
      <c r="F1140" s="631"/>
      <c r="G1140" s="631"/>
      <c r="H1140" s="631"/>
    </row>
    <row r="1141" spans="1:8" x14ac:dyDescent="0.2">
      <c r="A1141" s="631"/>
      <c r="B1141" s="631"/>
      <c r="C1141" s="631"/>
      <c r="D1141" s="631"/>
      <c r="E1141" s="631"/>
      <c r="F1141" s="631"/>
      <c r="G1141" s="631"/>
      <c r="H1141" s="631"/>
    </row>
    <row r="1142" spans="1:8" x14ac:dyDescent="0.2">
      <c r="A1142" s="631"/>
      <c r="B1142" s="631"/>
      <c r="C1142" s="631"/>
      <c r="D1142" s="631"/>
      <c r="E1142" s="631"/>
      <c r="F1142" s="631"/>
      <c r="G1142" s="631"/>
      <c r="H1142" s="631"/>
    </row>
    <row r="1143" spans="1:8" x14ac:dyDescent="0.2">
      <c r="A1143" s="631"/>
      <c r="B1143" s="631"/>
      <c r="C1143" s="631"/>
      <c r="D1143" s="631"/>
      <c r="E1143" s="631"/>
      <c r="F1143" s="631"/>
      <c r="G1143" s="631"/>
      <c r="H1143" s="631"/>
    </row>
    <row r="1144" spans="1:8" x14ac:dyDescent="0.2">
      <c r="A1144" s="631"/>
      <c r="B1144" s="631"/>
      <c r="C1144" s="631"/>
      <c r="D1144" s="631"/>
      <c r="E1144" s="631"/>
      <c r="F1144" s="631"/>
      <c r="G1144" s="631"/>
      <c r="H1144" s="631"/>
    </row>
    <row r="1145" spans="1:8" x14ac:dyDescent="0.2">
      <c r="A1145" s="631"/>
      <c r="B1145" s="631"/>
      <c r="C1145" s="631"/>
      <c r="D1145" s="631"/>
      <c r="E1145" s="631"/>
      <c r="F1145" s="631"/>
      <c r="G1145" s="631"/>
      <c r="H1145" s="631"/>
    </row>
    <row r="1146" spans="1:8" x14ac:dyDescent="0.2">
      <c r="A1146" s="631"/>
      <c r="B1146" s="631"/>
      <c r="C1146" s="631"/>
      <c r="D1146" s="631"/>
      <c r="E1146" s="631"/>
      <c r="F1146" s="631"/>
      <c r="G1146" s="631"/>
      <c r="H1146" s="631"/>
    </row>
    <row r="1147" spans="1:8" x14ac:dyDescent="0.2">
      <c r="A1147" s="631"/>
      <c r="B1147" s="631"/>
      <c r="C1147" s="631"/>
      <c r="D1147" s="631"/>
      <c r="E1147" s="631"/>
      <c r="F1147" s="631"/>
      <c r="G1147" s="631"/>
      <c r="H1147" s="631"/>
    </row>
    <row r="1148" spans="1:8" x14ac:dyDescent="0.2">
      <c r="A1148" s="631"/>
      <c r="B1148" s="631"/>
      <c r="C1148" s="631"/>
      <c r="D1148" s="631"/>
      <c r="E1148" s="631"/>
      <c r="F1148" s="631"/>
      <c r="G1148" s="631"/>
      <c r="H1148" s="631"/>
    </row>
    <row r="1149" spans="1:8" x14ac:dyDescent="0.2">
      <c r="A1149" s="631"/>
      <c r="B1149" s="631"/>
      <c r="C1149" s="631"/>
      <c r="D1149" s="631"/>
      <c r="E1149" s="631"/>
      <c r="F1149" s="631"/>
      <c r="G1149" s="631"/>
      <c r="H1149" s="631"/>
    </row>
    <row r="1150" spans="1:8" x14ac:dyDescent="0.2">
      <c r="A1150" s="631"/>
      <c r="B1150" s="631"/>
      <c r="C1150" s="631"/>
      <c r="D1150" s="631"/>
      <c r="E1150" s="631"/>
      <c r="F1150" s="631"/>
      <c r="G1150" s="631"/>
      <c r="H1150" s="631"/>
    </row>
    <row r="1151" spans="1:8" x14ac:dyDescent="0.2">
      <c r="A1151" s="631"/>
      <c r="B1151" s="631"/>
      <c r="C1151" s="631"/>
      <c r="D1151" s="631"/>
      <c r="E1151" s="631"/>
      <c r="F1151" s="631"/>
      <c r="G1151" s="631"/>
      <c r="H1151" s="631"/>
    </row>
    <row r="1152" spans="1:8" x14ac:dyDescent="0.2">
      <c r="A1152" s="631"/>
      <c r="B1152" s="631"/>
      <c r="C1152" s="631"/>
      <c r="D1152" s="631"/>
      <c r="E1152" s="631"/>
      <c r="F1152" s="631"/>
      <c r="G1152" s="631"/>
      <c r="H1152" s="631"/>
    </row>
    <row r="1153" spans="1:8" x14ac:dyDescent="0.2">
      <c r="A1153" s="631"/>
      <c r="B1153" s="631"/>
      <c r="C1153" s="631"/>
      <c r="D1153" s="631"/>
      <c r="E1153" s="631"/>
      <c r="F1153" s="631"/>
      <c r="G1153" s="631"/>
      <c r="H1153" s="631"/>
    </row>
    <row r="1154" spans="1:8" x14ac:dyDescent="0.2">
      <c r="A1154" s="631"/>
      <c r="B1154" s="631"/>
      <c r="C1154" s="631"/>
      <c r="D1154" s="631"/>
      <c r="E1154" s="631"/>
      <c r="F1154" s="631"/>
      <c r="G1154" s="631"/>
      <c r="H1154" s="631"/>
    </row>
    <row r="1155" spans="1:8" x14ac:dyDescent="0.2">
      <c r="A1155" s="631"/>
      <c r="B1155" s="631"/>
      <c r="C1155" s="631"/>
      <c r="D1155" s="631"/>
      <c r="E1155" s="631"/>
      <c r="F1155" s="631"/>
      <c r="G1155" s="631"/>
      <c r="H1155" s="631"/>
    </row>
    <row r="1156" spans="1:8" x14ac:dyDescent="0.2">
      <c r="A1156" s="631"/>
      <c r="B1156" s="631"/>
      <c r="C1156" s="631"/>
      <c r="D1156" s="631"/>
      <c r="E1156" s="631"/>
      <c r="F1156" s="631"/>
      <c r="G1156" s="631"/>
      <c r="H1156" s="631"/>
    </row>
    <row r="1157" spans="1:8" x14ac:dyDescent="0.2">
      <c r="A1157" s="631"/>
      <c r="B1157" s="631"/>
      <c r="C1157" s="631"/>
      <c r="D1157" s="631"/>
      <c r="E1157" s="631"/>
      <c r="F1157" s="631"/>
      <c r="G1157" s="631"/>
      <c r="H1157" s="631"/>
    </row>
    <row r="1158" spans="1:8" x14ac:dyDescent="0.2">
      <c r="A1158" s="631"/>
      <c r="B1158" s="631"/>
      <c r="C1158" s="631"/>
      <c r="D1158" s="631"/>
      <c r="E1158" s="631"/>
      <c r="F1158" s="631"/>
      <c r="G1158" s="631"/>
      <c r="H1158" s="631"/>
    </row>
    <row r="1159" spans="1:8" x14ac:dyDescent="0.2">
      <c r="A1159" s="631"/>
      <c r="B1159" s="631"/>
      <c r="C1159" s="631"/>
      <c r="D1159" s="631"/>
      <c r="E1159" s="631"/>
      <c r="F1159" s="631"/>
      <c r="G1159" s="631"/>
      <c r="H1159" s="631"/>
    </row>
    <row r="1160" spans="1:8" x14ac:dyDescent="0.2">
      <c r="A1160" s="631"/>
      <c r="B1160" s="631"/>
      <c r="C1160" s="631"/>
      <c r="D1160" s="631"/>
      <c r="E1160" s="631"/>
      <c r="F1160" s="631"/>
      <c r="G1160" s="631"/>
      <c r="H1160" s="631"/>
    </row>
    <row r="1161" spans="1:8" x14ac:dyDescent="0.2">
      <c r="A1161" s="631"/>
      <c r="B1161" s="631"/>
      <c r="C1161" s="631"/>
      <c r="D1161" s="631"/>
      <c r="E1161" s="631"/>
      <c r="F1161" s="631"/>
      <c r="G1161" s="631"/>
      <c r="H1161" s="631"/>
    </row>
    <row r="1162" spans="1:8" x14ac:dyDescent="0.2">
      <c r="A1162" s="631"/>
      <c r="B1162" s="631"/>
      <c r="C1162" s="631"/>
      <c r="D1162" s="631"/>
      <c r="E1162" s="631"/>
      <c r="F1162" s="631"/>
      <c r="G1162" s="631"/>
      <c r="H1162" s="631"/>
    </row>
    <row r="1163" spans="1:8" x14ac:dyDescent="0.2">
      <c r="A1163" s="631"/>
      <c r="B1163" s="631"/>
      <c r="C1163" s="631"/>
      <c r="D1163" s="631"/>
      <c r="E1163" s="631"/>
      <c r="F1163" s="631"/>
      <c r="G1163" s="631"/>
      <c r="H1163" s="631"/>
    </row>
    <row r="1164" spans="1:8" x14ac:dyDescent="0.2">
      <c r="A1164" s="631"/>
      <c r="B1164" s="631"/>
      <c r="C1164" s="631"/>
      <c r="D1164" s="631"/>
      <c r="E1164" s="631"/>
      <c r="F1164" s="631"/>
      <c r="G1164" s="631"/>
      <c r="H1164" s="631"/>
    </row>
    <row r="1165" spans="1:8" x14ac:dyDescent="0.2">
      <c r="A1165" s="631"/>
      <c r="B1165" s="631"/>
      <c r="C1165" s="631"/>
      <c r="D1165" s="631"/>
      <c r="E1165" s="631"/>
      <c r="F1165" s="631"/>
      <c r="G1165" s="631"/>
      <c r="H1165" s="631"/>
    </row>
    <row r="1166" spans="1:8" x14ac:dyDescent="0.2">
      <c r="A1166" s="631"/>
      <c r="B1166" s="631"/>
      <c r="C1166" s="631"/>
      <c r="D1166" s="631"/>
      <c r="E1166" s="631"/>
      <c r="F1166" s="631"/>
      <c r="G1166" s="631"/>
      <c r="H1166" s="631"/>
    </row>
    <row r="1167" spans="1:8" x14ac:dyDescent="0.2">
      <c r="A1167" s="631"/>
      <c r="B1167" s="631"/>
      <c r="C1167" s="631"/>
      <c r="D1167" s="631"/>
      <c r="E1167" s="631"/>
      <c r="F1167" s="631"/>
      <c r="G1167" s="631"/>
      <c r="H1167" s="631"/>
    </row>
    <row r="1168" spans="1:8" x14ac:dyDescent="0.2">
      <c r="A1168" s="631"/>
      <c r="B1168" s="631"/>
      <c r="C1168" s="631"/>
      <c r="D1168" s="631"/>
      <c r="E1168" s="631"/>
      <c r="F1168" s="631"/>
      <c r="G1168" s="631"/>
      <c r="H1168" s="631"/>
    </row>
    <row r="1169" spans="1:8" x14ac:dyDescent="0.2">
      <c r="A1169" s="631"/>
      <c r="B1169" s="631"/>
      <c r="C1169" s="631"/>
      <c r="D1169" s="631"/>
      <c r="E1169" s="631"/>
      <c r="F1169" s="631"/>
      <c r="G1169" s="631"/>
      <c r="H1169" s="631"/>
    </row>
    <row r="1170" spans="1:8" x14ac:dyDescent="0.2">
      <c r="A1170" s="631"/>
      <c r="B1170" s="631"/>
      <c r="C1170" s="631"/>
      <c r="D1170" s="631"/>
      <c r="E1170" s="631"/>
      <c r="F1170" s="631"/>
      <c r="G1170" s="631"/>
      <c r="H1170" s="631"/>
    </row>
    <row r="1171" spans="1:8" x14ac:dyDescent="0.2">
      <c r="A1171" s="631"/>
      <c r="B1171" s="631"/>
      <c r="C1171" s="631"/>
      <c r="D1171" s="631"/>
      <c r="E1171" s="631"/>
      <c r="F1171" s="631"/>
      <c r="G1171" s="631"/>
      <c r="H1171" s="631"/>
    </row>
    <row r="1172" spans="1:8" x14ac:dyDescent="0.2">
      <c r="A1172" s="631"/>
      <c r="B1172" s="631"/>
      <c r="C1172" s="631"/>
      <c r="D1172" s="631"/>
      <c r="E1172" s="631"/>
      <c r="F1172" s="631"/>
      <c r="G1172" s="631"/>
      <c r="H1172" s="631"/>
    </row>
    <row r="1173" spans="1:8" x14ac:dyDescent="0.2">
      <c r="A1173" s="631"/>
      <c r="B1173" s="631"/>
      <c r="C1173" s="631"/>
      <c r="D1173" s="631"/>
      <c r="E1173" s="631"/>
      <c r="F1173" s="631"/>
      <c r="G1173" s="631"/>
      <c r="H1173" s="631"/>
    </row>
    <row r="1174" spans="1:8" x14ac:dyDescent="0.2">
      <c r="A1174" s="631"/>
      <c r="B1174" s="631"/>
      <c r="C1174" s="631"/>
      <c r="D1174" s="631"/>
      <c r="E1174" s="631"/>
      <c r="F1174" s="631"/>
      <c r="G1174" s="631"/>
      <c r="H1174" s="631"/>
    </row>
    <row r="1175" spans="1:8" x14ac:dyDescent="0.2">
      <c r="A1175" s="631"/>
      <c r="B1175" s="631"/>
      <c r="C1175" s="631"/>
      <c r="D1175" s="631"/>
      <c r="E1175" s="631"/>
      <c r="F1175" s="631"/>
      <c r="G1175" s="631"/>
      <c r="H1175" s="631"/>
    </row>
    <row r="1176" spans="1:8" x14ac:dyDescent="0.2">
      <c r="A1176" s="631"/>
      <c r="B1176" s="631"/>
      <c r="C1176" s="631"/>
      <c r="D1176" s="631"/>
      <c r="E1176" s="631"/>
      <c r="F1176" s="631"/>
      <c r="G1176" s="631"/>
      <c r="H1176" s="631"/>
    </row>
    <row r="1177" spans="1:8" x14ac:dyDescent="0.2">
      <c r="A1177" s="631"/>
      <c r="B1177" s="631"/>
      <c r="C1177" s="631"/>
      <c r="D1177" s="631"/>
      <c r="E1177" s="631"/>
      <c r="F1177" s="631"/>
      <c r="G1177" s="631"/>
      <c r="H1177" s="631"/>
    </row>
    <row r="1178" spans="1:8" x14ac:dyDescent="0.2">
      <c r="A1178" s="631"/>
      <c r="B1178" s="631"/>
      <c r="C1178" s="631"/>
      <c r="D1178" s="631"/>
      <c r="E1178" s="631"/>
      <c r="F1178" s="631"/>
      <c r="G1178" s="631"/>
      <c r="H1178" s="631"/>
    </row>
    <row r="1179" spans="1:8" x14ac:dyDescent="0.2">
      <c r="A1179" s="631"/>
      <c r="B1179" s="631"/>
      <c r="C1179" s="631"/>
      <c r="D1179" s="631"/>
      <c r="E1179" s="631"/>
      <c r="F1179" s="631"/>
      <c r="G1179" s="631"/>
      <c r="H1179" s="631"/>
    </row>
    <row r="1180" spans="1:8" x14ac:dyDescent="0.2">
      <c r="A1180" s="631"/>
      <c r="B1180" s="631"/>
      <c r="C1180" s="631"/>
      <c r="D1180" s="631"/>
      <c r="E1180" s="631"/>
      <c r="F1180" s="631"/>
      <c r="G1180" s="631"/>
      <c r="H1180" s="631"/>
    </row>
    <row r="1181" spans="1:8" x14ac:dyDescent="0.2">
      <c r="A1181" s="631"/>
      <c r="B1181" s="631"/>
      <c r="C1181" s="631"/>
      <c r="D1181" s="631"/>
      <c r="E1181" s="631"/>
      <c r="F1181" s="631"/>
      <c r="G1181" s="631"/>
      <c r="H1181" s="631"/>
    </row>
    <row r="1182" spans="1:8" x14ac:dyDescent="0.2">
      <c r="A1182" s="631"/>
      <c r="B1182" s="631"/>
      <c r="C1182" s="631"/>
      <c r="D1182" s="631"/>
      <c r="E1182" s="631"/>
      <c r="F1182" s="631"/>
      <c r="G1182" s="631"/>
      <c r="H1182" s="631"/>
    </row>
    <row r="1183" spans="1:8" x14ac:dyDescent="0.2">
      <c r="A1183" s="631"/>
      <c r="B1183" s="631"/>
      <c r="C1183" s="631"/>
      <c r="D1183" s="631"/>
      <c r="E1183" s="631"/>
      <c r="F1183" s="631"/>
      <c r="G1183" s="631"/>
      <c r="H1183" s="631"/>
    </row>
    <row r="1184" spans="1:8" x14ac:dyDescent="0.2">
      <c r="A1184" s="631"/>
      <c r="B1184" s="631"/>
      <c r="C1184" s="631"/>
      <c r="D1184" s="631"/>
      <c r="E1184" s="631"/>
      <c r="F1184" s="631"/>
      <c r="G1184" s="631"/>
      <c r="H1184" s="631"/>
    </row>
    <row r="1185" spans="1:8" x14ac:dyDescent="0.2">
      <c r="A1185" s="631"/>
      <c r="B1185" s="631"/>
      <c r="C1185" s="631"/>
      <c r="D1185" s="631"/>
      <c r="E1185" s="631"/>
      <c r="F1185" s="631"/>
      <c r="G1185" s="631"/>
      <c r="H1185" s="631"/>
    </row>
    <row r="1186" spans="1:8" x14ac:dyDescent="0.2">
      <c r="A1186" s="631"/>
      <c r="B1186" s="631"/>
      <c r="C1186" s="631"/>
      <c r="D1186" s="631"/>
      <c r="E1186" s="631"/>
      <c r="F1186" s="631"/>
      <c r="G1186" s="631"/>
      <c r="H1186" s="631"/>
    </row>
    <row r="1187" spans="1:8" x14ac:dyDescent="0.2">
      <c r="A1187" s="631"/>
      <c r="B1187" s="631"/>
      <c r="C1187" s="631"/>
      <c r="D1187" s="631"/>
      <c r="E1187" s="631"/>
      <c r="F1187" s="631"/>
      <c r="G1187" s="631"/>
      <c r="H1187" s="631"/>
    </row>
    <row r="1188" spans="1:8" x14ac:dyDescent="0.2">
      <c r="A1188" s="631"/>
      <c r="B1188" s="631"/>
      <c r="C1188" s="631"/>
      <c r="D1188" s="631"/>
      <c r="E1188" s="631"/>
      <c r="F1188" s="631"/>
      <c r="G1188" s="631"/>
      <c r="H1188" s="631"/>
    </row>
    <row r="1189" spans="1:8" x14ac:dyDescent="0.2">
      <c r="A1189" s="631"/>
      <c r="B1189" s="631"/>
      <c r="C1189" s="631"/>
      <c r="D1189" s="631"/>
      <c r="E1189" s="631"/>
      <c r="F1189" s="631"/>
      <c r="G1189" s="631"/>
      <c r="H1189" s="631"/>
    </row>
    <row r="1190" spans="1:8" x14ac:dyDescent="0.2">
      <c r="A1190" s="631"/>
      <c r="B1190" s="631"/>
      <c r="C1190" s="631"/>
      <c r="D1190" s="631"/>
      <c r="E1190" s="631"/>
      <c r="F1190" s="631"/>
      <c r="G1190" s="631"/>
      <c r="H1190" s="631"/>
    </row>
    <row r="1191" spans="1:8" x14ac:dyDescent="0.2">
      <c r="A1191" s="631"/>
      <c r="B1191" s="631"/>
      <c r="C1191" s="631"/>
      <c r="D1191" s="631"/>
      <c r="E1191" s="631"/>
      <c r="F1191" s="631"/>
      <c r="G1191" s="631"/>
      <c r="H1191" s="631"/>
    </row>
    <row r="1192" spans="1:8" x14ac:dyDescent="0.2">
      <c r="A1192" s="631"/>
      <c r="B1192" s="631"/>
      <c r="C1192" s="631"/>
      <c r="D1192" s="631"/>
      <c r="E1192" s="631"/>
      <c r="F1192" s="631"/>
      <c r="G1192" s="631"/>
      <c r="H1192" s="631"/>
    </row>
    <row r="1193" spans="1:8" x14ac:dyDescent="0.2">
      <c r="A1193" s="631"/>
      <c r="B1193" s="631"/>
      <c r="C1193" s="631"/>
      <c r="D1193" s="631"/>
      <c r="E1193" s="631"/>
      <c r="F1193" s="631"/>
      <c r="G1193" s="631"/>
      <c r="H1193" s="631"/>
    </row>
    <row r="1194" spans="1:8" x14ac:dyDescent="0.2">
      <c r="A1194" s="631"/>
      <c r="B1194" s="631"/>
      <c r="C1194" s="631"/>
      <c r="D1194" s="631"/>
      <c r="E1194" s="631"/>
      <c r="F1194" s="631"/>
      <c r="G1194" s="631"/>
      <c r="H1194" s="631"/>
    </row>
    <row r="1195" spans="1:8" x14ac:dyDescent="0.2">
      <c r="A1195" s="631"/>
      <c r="B1195" s="631"/>
      <c r="C1195" s="631"/>
      <c r="D1195" s="631"/>
      <c r="E1195" s="631"/>
      <c r="F1195" s="631"/>
      <c r="G1195" s="631"/>
      <c r="H1195" s="631"/>
    </row>
    <row r="1196" spans="1:8" x14ac:dyDescent="0.2">
      <c r="A1196" s="631"/>
      <c r="B1196" s="631"/>
      <c r="C1196" s="631"/>
      <c r="D1196" s="631"/>
      <c r="E1196" s="631"/>
      <c r="F1196" s="631"/>
      <c r="G1196" s="631"/>
      <c r="H1196" s="631"/>
    </row>
    <row r="1197" spans="1:8" x14ac:dyDescent="0.2">
      <c r="A1197" s="631"/>
      <c r="B1197" s="631"/>
      <c r="C1197" s="631"/>
      <c r="D1197" s="631"/>
      <c r="E1197" s="631"/>
      <c r="F1197" s="631"/>
      <c r="G1197" s="631"/>
      <c r="H1197" s="631"/>
    </row>
    <row r="1198" spans="1:8" x14ac:dyDescent="0.2">
      <c r="A1198" s="631"/>
      <c r="B1198" s="631"/>
      <c r="C1198" s="631"/>
      <c r="D1198" s="631"/>
      <c r="E1198" s="631"/>
      <c r="F1198" s="631"/>
      <c r="G1198" s="631"/>
      <c r="H1198" s="631"/>
    </row>
    <row r="1199" spans="1:8" x14ac:dyDescent="0.2">
      <c r="A1199" s="631"/>
      <c r="B1199" s="631"/>
      <c r="C1199" s="631"/>
      <c r="D1199" s="631"/>
      <c r="E1199" s="631"/>
      <c r="F1199" s="631"/>
      <c r="G1199" s="631"/>
      <c r="H1199" s="631"/>
    </row>
    <row r="1200" spans="1:8" x14ac:dyDescent="0.2">
      <c r="A1200" s="631"/>
      <c r="B1200" s="631"/>
      <c r="C1200" s="631"/>
      <c r="D1200" s="631"/>
      <c r="E1200" s="631"/>
      <c r="F1200" s="631"/>
      <c r="G1200" s="631"/>
      <c r="H1200" s="631"/>
    </row>
    <row r="1201" spans="1:8" x14ac:dyDescent="0.2">
      <c r="A1201" s="631"/>
      <c r="B1201" s="631"/>
      <c r="C1201" s="631"/>
      <c r="D1201" s="631"/>
      <c r="E1201" s="631"/>
      <c r="F1201" s="631"/>
      <c r="G1201" s="631"/>
      <c r="H1201" s="631"/>
    </row>
    <row r="1202" spans="1:8" x14ac:dyDescent="0.2">
      <c r="A1202" s="631"/>
      <c r="B1202" s="631"/>
      <c r="C1202" s="631"/>
      <c r="D1202" s="631"/>
      <c r="E1202" s="631"/>
      <c r="F1202" s="631"/>
      <c r="G1202" s="631"/>
      <c r="H1202" s="631"/>
    </row>
    <row r="1203" spans="1:8" x14ac:dyDescent="0.2">
      <c r="A1203" s="631"/>
      <c r="B1203" s="631"/>
      <c r="C1203" s="631"/>
      <c r="D1203" s="631"/>
      <c r="E1203" s="631"/>
      <c r="F1203" s="631"/>
      <c r="G1203" s="631"/>
      <c r="H1203" s="631"/>
    </row>
    <row r="1204" spans="1:8" x14ac:dyDescent="0.2">
      <c r="A1204" s="631"/>
      <c r="B1204" s="631"/>
      <c r="C1204" s="631"/>
      <c r="D1204" s="631"/>
      <c r="E1204" s="631"/>
      <c r="F1204" s="631"/>
      <c r="G1204" s="631"/>
      <c r="H1204" s="631"/>
    </row>
    <row r="1205" spans="1:8" x14ac:dyDescent="0.2">
      <c r="A1205" s="631"/>
      <c r="B1205" s="631"/>
      <c r="C1205" s="631"/>
      <c r="D1205" s="631"/>
      <c r="E1205" s="631"/>
      <c r="F1205" s="631"/>
      <c r="G1205" s="631"/>
      <c r="H1205" s="631"/>
    </row>
    <row r="1206" spans="1:8" x14ac:dyDescent="0.2">
      <c r="A1206" s="631"/>
      <c r="B1206" s="631"/>
      <c r="C1206" s="631"/>
      <c r="D1206" s="631"/>
      <c r="E1206" s="631"/>
      <c r="F1206" s="631"/>
      <c r="G1206" s="631"/>
      <c r="H1206" s="631"/>
    </row>
    <row r="1207" spans="1:8" x14ac:dyDescent="0.2">
      <c r="A1207" s="631"/>
      <c r="B1207" s="631"/>
      <c r="C1207" s="631"/>
      <c r="D1207" s="631"/>
      <c r="E1207" s="631"/>
      <c r="F1207" s="631"/>
      <c r="G1207" s="631"/>
      <c r="H1207" s="631"/>
    </row>
    <row r="1208" spans="1:8" x14ac:dyDescent="0.2">
      <c r="A1208" s="631"/>
      <c r="B1208" s="631"/>
      <c r="C1208" s="631"/>
      <c r="D1208" s="631"/>
      <c r="E1208" s="631"/>
      <c r="F1208" s="631"/>
      <c r="G1208" s="631"/>
      <c r="H1208" s="631"/>
    </row>
    <row r="1209" spans="1:8" x14ac:dyDescent="0.2">
      <c r="A1209" s="631"/>
      <c r="B1209" s="631"/>
      <c r="C1209" s="631"/>
      <c r="D1209" s="631"/>
      <c r="E1209" s="631"/>
      <c r="F1209" s="631"/>
      <c r="G1209" s="631"/>
      <c r="H1209" s="631"/>
    </row>
    <row r="1210" spans="1:8" x14ac:dyDescent="0.2">
      <c r="A1210" s="631"/>
      <c r="B1210" s="631"/>
      <c r="C1210" s="631"/>
      <c r="D1210" s="631"/>
      <c r="E1210" s="631"/>
      <c r="F1210" s="631"/>
      <c r="G1210" s="631"/>
      <c r="H1210" s="631"/>
    </row>
    <row r="1211" spans="1:8" x14ac:dyDescent="0.2">
      <c r="A1211" s="631"/>
      <c r="B1211" s="631"/>
      <c r="C1211" s="631"/>
      <c r="D1211" s="631"/>
      <c r="E1211" s="631"/>
      <c r="F1211" s="631"/>
      <c r="G1211" s="631"/>
      <c r="H1211" s="631"/>
    </row>
    <row r="1212" spans="1:8" x14ac:dyDescent="0.2">
      <c r="A1212" s="631"/>
      <c r="B1212" s="631"/>
      <c r="C1212" s="631"/>
      <c r="D1212" s="631"/>
      <c r="E1212" s="631"/>
      <c r="F1212" s="631"/>
      <c r="G1212" s="631"/>
      <c r="H1212" s="631"/>
    </row>
    <row r="1213" spans="1:8" x14ac:dyDescent="0.2">
      <c r="A1213" s="631"/>
      <c r="B1213" s="631"/>
      <c r="C1213" s="631"/>
      <c r="D1213" s="631"/>
      <c r="E1213" s="631"/>
      <c r="F1213" s="631"/>
      <c r="G1213" s="631"/>
      <c r="H1213" s="631"/>
    </row>
    <row r="1214" spans="1:8" x14ac:dyDescent="0.2">
      <c r="A1214" s="631"/>
      <c r="B1214" s="631"/>
      <c r="C1214" s="631"/>
      <c r="D1214" s="631"/>
      <c r="E1214" s="631"/>
      <c r="F1214" s="631"/>
      <c r="G1214" s="631"/>
      <c r="H1214" s="631"/>
    </row>
    <row r="1215" spans="1:8" x14ac:dyDescent="0.2">
      <c r="A1215" s="631"/>
      <c r="B1215" s="631"/>
      <c r="C1215" s="631"/>
      <c r="D1215" s="631"/>
      <c r="E1215" s="631"/>
      <c r="F1215" s="631"/>
      <c r="G1215" s="631"/>
      <c r="H1215" s="631"/>
    </row>
    <row r="1216" spans="1:8" x14ac:dyDescent="0.2">
      <c r="A1216" s="631"/>
      <c r="B1216" s="631"/>
      <c r="C1216" s="631"/>
      <c r="D1216" s="631"/>
      <c r="E1216" s="631"/>
      <c r="F1216" s="631"/>
      <c r="G1216" s="631"/>
      <c r="H1216" s="631"/>
    </row>
    <row r="1217" spans="1:8" x14ac:dyDescent="0.2">
      <c r="A1217" s="631"/>
      <c r="B1217" s="631"/>
      <c r="C1217" s="631"/>
      <c r="D1217" s="631"/>
      <c r="E1217" s="631"/>
      <c r="F1217" s="631"/>
      <c r="G1217" s="631"/>
      <c r="H1217" s="631"/>
    </row>
    <row r="1218" spans="1:8" x14ac:dyDescent="0.2">
      <c r="A1218" s="631"/>
      <c r="B1218" s="631"/>
      <c r="C1218" s="631"/>
      <c r="D1218" s="631"/>
      <c r="E1218" s="631"/>
      <c r="F1218" s="631"/>
      <c r="G1218" s="631"/>
      <c r="H1218" s="631"/>
    </row>
    <row r="1219" spans="1:8" x14ac:dyDescent="0.2">
      <c r="A1219" s="631"/>
      <c r="B1219" s="631"/>
      <c r="C1219" s="631"/>
      <c r="D1219" s="631"/>
      <c r="E1219" s="631"/>
      <c r="F1219" s="631"/>
      <c r="G1219" s="631"/>
      <c r="H1219" s="631"/>
    </row>
    <row r="1220" spans="1:8" x14ac:dyDescent="0.2">
      <c r="A1220" s="631"/>
      <c r="B1220" s="631"/>
      <c r="C1220" s="631"/>
      <c r="D1220" s="631"/>
      <c r="E1220" s="631"/>
      <c r="F1220" s="631"/>
      <c r="G1220" s="631"/>
      <c r="H1220" s="631"/>
    </row>
    <row r="1221" spans="1:8" x14ac:dyDescent="0.2">
      <c r="A1221" s="631"/>
      <c r="B1221" s="631"/>
      <c r="C1221" s="631"/>
      <c r="D1221" s="631"/>
      <c r="E1221" s="631"/>
      <c r="F1221" s="631"/>
      <c r="G1221" s="631"/>
      <c r="H1221" s="631"/>
    </row>
    <row r="1222" spans="1:8" x14ac:dyDescent="0.2">
      <c r="A1222" s="631"/>
      <c r="B1222" s="631"/>
      <c r="C1222" s="631"/>
      <c r="D1222" s="631"/>
      <c r="E1222" s="631"/>
      <c r="F1222" s="631"/>
      <c r="G1222" s="631"/>
      <c r="H1222" s="631"/>
    </row>
    <row r="1223" spans="1:8" x14ac:dyDescent="0.2">
      <c r="A1223" s="631"/>
      <c r="B1223" s="631"/>
      <c r="C1223" s="631"/>
      <c r="D1223" s="631"/>
      <c r="E1223" s="631"/>
      <c r="F1223" s="631"/>
      <c r="G1223" s="631"/>
      <c r="H1223" s="631"/>
    </row>
    <row r="1224" spans="1:8" x14ac:dyDescent="0.2">
      <c r="A1224" s="631"/>
      <c r="B1224" s="631"/>
      <c r="C1224" s="631"/>
      <c r="D1224" s="631"/>
      <c r="E1224" s="631"/>
      <c r="F1224" s="631"/>
      <c r="G1224" s="631"/>
      <c r="H1224" s="631"/>
    </row>
    <row r="1225" spans="1:8" x14ac:dyDescent="0.2">
      <c r="A1225" s="631"/>
      <c r="B1225" s="631"/>
      <c r="C1225" s="631"/>
      <c r="D1225" s="631"/>
      <c r="E1225" s="631"/>
      <c r="F1225" s="631"/>
      <c r="G1225" s="631"/>
      <c r="H1225" s="631"/>
    </row>
    <row r="1226" spans="1:8" x14ac:dyDescent="0.2">
      <c r="A1226" s="631"/>
      <c r="B1226" s="631"/>
      <c r="C1226" s="631"/>
      <c r="D1226" s="631"/>
      <c r="E1226" s="631"/>
      <c r="F1226" s="631"/>
      <c r="G1226" s="631"/>
      <c r="H1226" s="631"/>
    </row>
    <row r="1227" spans="1:8" x14ac:dyDescent="0.2">
      <c r="A1227" s="631"/>
      <c r="B1227" s="631"/>
      <c r="C1227" s="631"/>
      <c r="D1227" s="631"/>
      <c r="E1227" s="631"/>
      <c r="F1227" s="631"/>
      <c r="G1227" s="631"/>
      <c r="H1227" s="631"/>
    </row>
    <row r="1228" spans="1:8" x14ac:dyDescent="0.2">
      <c r="A1228" s="631"/>
      <c r="B1228" s="631"/>
      <c r="C1228" s="631"/>
      <c r="D1228" s="631"/>
      <c r="E1228" s="631"/>
      <c r="F1228" s="631"/>
      <c r="G1228" s="631"/>
      <c r="H1228" s="631"/>
    </row>
    <row r="1229" spans="1:8" x14ac:dyDescent="0.2">
      <c r="A1229" s="631"/>
      <c r="B1229" s="631"/>
      <c r="C1229" s="631"/>
      <c r="D1229" s="631"/>
      <c r="E1229" s="631"/>
      <c r="F1229" s="631"/>
      <c r="G1229" s="631"/>
      <c r="H1229" s="631"/>
    </row>
    <row r="1230" spans="1:8" x14ac:dyDescent="0.2">
      <c r="A1230" s="631"/>
      <c r="B1230" s="631"/>
      <c r="C1230" s="631"/>
      <c r="D1230" s="631"/>
      <c r="E1230" s="631"/>
      <c r="F1230" s="631"/>
      <c r="G1230" s="631"/>
      <c r="H1230" s="631"/>
    </row>
    <row r="1231" spans="1:8" x14ac:dyDescent="0.2">
      <c r="A1231" s="631"/>
      <c r="B1231" s="631"/>
      <c r="C1231" s="631"/>
      <c r="D1231" s="631"/>
      <c r="E1231" s="631"/>
      <c r="F1231" s="631"/>
      <c r="G1231" s="631"/>
      <c r="H1231" s="631"/>
    </row>
    <row r="1232" spans="1:8" x14ac:dyDescent="0.2">
      <c r="A1232" s="631"/>
      <c r="B1232" s="631"/>
      <c r="C1232" s="631"/>
      <c r="D1232" s="631"/>
      <c r="E1232" s="631"/>
      <c r="F1232" s="631"/>
      <c r="G1232" s="631"/>
      <c r="H1232" s="631"/>
    </row>
    <row r="1233" spans="1:8" x14ac:dyDescent="0.2">
      <c r="A1233" s="631"/>
      <c r="B1233" s="631"/>
      <c r="C1233" s="631"/>
      <c r="D1233" s="631"/>
      <c r="E1233" s="631"/>
      <c r="F1233" s="631"/>
      <c r="G1233" s="631"/>
      <c r="H1233" s="631"/>
    </row>
    <row r="1234" spans="1:8" x14ac:dyDescent="0.2">
      <c r="A1234" s="631"/>
      <c r="B1234" s="631"/>
      <c r="C1234" s="631"/>
      <c r="D1234" s="631"/>
      <c r="E1234" s="631"/>
      <c r="F1234" s="631"/>
      <c r="G1234" s="631"/>
      <c r="H1234" s="631"/>
    </row>
    <row r="1235" spans="1:8" x14ac:dyDescent="0.2">
      <c r="A1235" s="631"/>
      <c r="B1235" s="631"/>
      <c r="C1235" s="631"/>
      <c r="D1235" s="631"/>
      <c r="E1235" s="631"/>
      <c r="F1235" s="631"/>
      <c r="G1235" s="631"/>
      <c r="H1235" s="631"/>
    </row>
    <row r="1236" spans="1:8" x14ac:dyDescent="0.2">
      <c r="A1236" s="631"/>
      <c r="B1236" s="631"/>
      <c r="C1236" s="631"/>
      <c r="D1236" s="631"/>
      <c r="E1236" s="631"/>
      <c r="F1236" s="631"/>
      <c r="G1236" s="631"/>
      <c r="H1236" s="631"/>
    </row>
    <row r="1237" spans="1:8" x14ac:dyDescent="0.2">
      <c r="A1237" s="631"/>
      <c r="B1237" s="631"/>
      <c r="C1237" s="631"/>
      <c r="D1237" s="631"/>
      <c r="E1237" s="631"/>
      <c r="F1237" s="631"/>
      <c r="G1237" s="631"/>
      <c r="H1237" s="631"/>
    </row>
    <row r="1238" spans="1:8" x14ac:dyDescent="0.2">
      <c r="A1238" s="631"/>
      <c r="B1238" s="631"/>
      <c r="C1238" s="631"/>
      <c r="D1238" s="631"/>
      <c r="E1238" s="631"/>
      <c r="F1238" s="631"/>
      <c r="G1238" s="631"/>
      <c r="H1238" s="631"/>
    </row>
    <row r="1239" spans="1:8" x14ac:dyDescent="0.2">
      <c r="A1239" s="631"/>
      <c r="B1239" s="631"/>
      <c r="C1239" s="631"/>
      <c r="D1239" s="631"/>
      <c r="E1239" s="631"/>
      <c r="F1239" s="631"/>
      <c r="G1239" s="631"/>
      <c r="H1239" s="631"/>
    </row>
    <row r="1240" spans="1:8" x14ac:dyDescent="0.2">
      <c r="A1240" s="631"/>
      <c r="B1240" s="631"/>
      <c r="C1240" s="631"/>
      <c r="D1240" s="631"/>
      <c r="E1240" s="631"/>
      <c r="F1240" s="631"/>
      <c r="G1240" s="631"/>
      <c r="H1240" s="631"/>
    </row>
    <row r="1241" spans="1:8" x14ac:dyDescent="0.2">
      <c r="A1241" s="631"/>
      <c r="B1241" s="631"/>
      <c r="C1241" s="631"/>
      <c r="D1241" s="631"/>
      <c r="E1241" s="631"/>
      <c r="F1241" s="631"/>
      <c r="G1241" s="631"/>
      <c r="H1241" s="631"/>
    </row>
    <row r="1242" spans="1:8" x14ac:dyDescent="0.2">
      <c r="A1242" s="631"/>
      <c r="B1242" s="631"/>
      <c r="C1242" s="631"/>
      <c r="D1242" s="631"/>
      <c r="E1242" s="631"/>
      <c r="F1242" s="631"/>
      <c r="G1242" s="631"/>
      <c r="H1242" s="631"/>
    </row>
    <row r="1243" spans="1:8" x14ac:dyDescent="0.2">
      <c r="A1243" s="631"/>
      <c r="B1243" s="631"/>
      <c r="C1243" s="631"/>
      <c r="D1243" s="631"/>
      <c r="E1243" s="631"/>
      <c r="F1243" s="631"/>
      <c r="G1243" s="631"/>
      <c r="H1243" s="631"/>
    </row>
    <row r="1244" spans="1:8" x14ac:dyDescent="0.2">
      <c r="A1244" s="631"/>
      <c r="B1244" s="631"/>
      <c r="C1244" s="631"/>
      <c r="D1244" s="631"/>
      <c r="E1244" s="631"/>
      <c r="F1244" s="631"/>
      <c r="G1244" s="631"/>
      <c r="H1244" s="631"/>
    </row>
    <row r="1245" spans="1:8" x14ac:dyDescent="0.2">
      <c r="A1245" s="631"/>
      <c r="B1245" s="631"/>
      <c r="C1245" s="631"/>
      <c r="D1245" s="631"/>
      <c r="E1245" s="631"/>
      <c r="F1245" s="631"/>
      <c r="G1245" s="631"/>
      <c r="H1245" s="631"/>
    </row>
    <row r="1246" spans="1:8" x14ac:dyDescent="0.2">
      <c r="A1246" s="631"/>
      <c r="B1246" s="631"/>
      <c r="C1246" s="631"/>
      <c r="D1246" s="631"/>
      <c r="E1246" s="631"/>
      <c r="F1246" s="631"/>
      <c r="G1246" s="631"/>
      <c r="H1246" s="631"/>
    </row>
    <row r="1247" spans="1:8" x14ac:dyDescent="0.2">
      <c r="A1247" s="631"/>
      <c r="B1247" s="631"/>
      <c r="C1247" s="631"/>
      <c r="D1247" s="631"/>
      <c r="E1247" s="631"/>
      <c r="F1247" s="631"/>
      <c r="G1247" s="631"/>
      <c r="H1247" s="631"/>
    </row>
    <row r="1248" spans="1:8" x14ac:dyDescent="0.2">
      <c r="A1248" s="631"/>
      <c r="B1248" s="631"/>
      <c r="C1248" s="631"/>
      <c r="D1248" s="631"/>
      <c r="E1248" s="631"/>
      <c r="F1248" s="631"/>
      <c r="G1248" s="631"/>
      <c r="H1248" s="631"/>
    </row>
    <row r="1249" spans="1:8" x14ac:dyDescent="0.2">
      <c r="A1249" s="631"/>
      <c r="B1249" s="631"/>
      <c r="C1249" s="631"/>
      <c r="D1249" s="631"/>
      <c r="E1249" s="631"/>
      <c r="F1249" s="631"/>
      <c r="G1249" s="631"/>
      <c r="H1249" s="631"/>
    </row>
    <row r="1250" spans="1:8" x14ac:dyDescent="0.2">
      <c r="A1250" s="631"/>
      <c r="B1250" s="631"/>
      <c r="C1250" s="631"/>
      <c r="D1250" s="631"/>
      <c r="E1250" s="631"/>
      <c r="F1250" s="631"/>
      <c r="G1250" s="631"/>
      <c r="H1250" s="631"/>
    </row>
    <row r="1251" spans="1:8" x14ac:dyDescent="0.2">
      <c r="A1251" s="631"/>
      <c r="B1251" s="631"/>
      <c r="C1251" s="631"/>
      <c r="D1251" s="631"/>
      <c r="E1251" s="631"/>
      <c r="F1251" s="631"/>
      <c r="G1251" s="631"/>
      <c r="H1251" s="631"/>
    </row>
    <row r="1252" spans="1:8" x14ac:dyDescent="0.2">
      <c r="A1252" s="631"/>
      <c r="B1252" s="631"/>
      <c r="C1252" s="631"/>
      <c r="D1252" s="631"/>
      <c r="E1252" s="631"/>
      <c r="F1252" s="631"/>
      <c r="G1252" s="631"/>
      <c r="H1252" s="631"/>
    </row>
    <row r="1253" spans="1:8" x14ac:dyDescent="0.2">
      <c r="A1253" s="631"/>
      <c r="B1253" s="631"/>
      <c r="C1253" s="631"/>
      <c r="D1253" s="631"/>
      <c r="E1253" s="631"/>
      <c r="F1253" s="631"/>
      <c r="G1253" s="631"/>
      <c r="H1253" s="631"/>
    </row>
    <row r="1254" spans="1:8" x14ac:dyDescent="0.2">
      <c r="A1254" s="631"/>
      <c r="B1254" s="631"/>
      <c r="C1254" s="631"/>
      <c r="D1254" s="631"/>
      <c r="E1254" s="631"/>
      <c r="F1254" s="631"/>
      <c r="G1254" s="631"/>
      <c r="H1254" s="631"/>
    </row>
    <row r="1255" spans="1:8" x14ac:dyDescent="0.2">
      <c r="A1255" s="631"/>
      <c r="B1255" s="631"/>
      <c r="C1255" s="631"/>
      <c r="D1255" s="631"/>
      <c r="E1255" s="631"/>
      <c r="F1255" s="631"/>
      <c r="G1255" s="631"/>
      <c r="H1255" s="631"/>
    </row>
    <row r="1256" spans="1:8" x14ac:dyDescent="0.2">
      <c r="A1256" s="631"/>
      <c r="B1256" s="631"/>
      <c r="C1256" s="631"/>
      <c r="D1256" s="631"/>
      <c r="E1256" s="631"/>
      <c r="F1256" s="631"/>
      <c r="G1256" s="631"/>
      <c r="H1256" s="631"/>
    </row>
    <row r="1257" spans="1:8" x14ac:dyDescent="0.2">
      <c r="A1257" s="631"/>
      <c r="B1257" s="631"/>
      <c r="C1257" s="631"/>
      <c r="D1257" s="631"/>
      <c r="E1257" s="631"/>
      <c r="F1257" s="631"/>
      <c r="G1257" s="631"/>
      <c r="H1257" s="631"/>
    </row>
    <row r="1258" spans="1:8" x14ac:dyDescent="0.2">
      <c r="A1258" s="631"/>
      <c r="B1258" s="631"/>
      <c r="C1258" s="631"/>
      <c r="D1258" s="631"/>
      <c r="E1258" s="631"/>
      <c r="F1258" s="631"/>
      <c r="G1258" s="631"/>
      <c r="H1258" s="631"/>
    </row>
    <row r="1259" spans="1:8" x14ac:dyDescent="0.2">
      <c r="A1259" s="631"/>
      <c r="B1259" s="631"/>
      <c r="C1259" s="631"/>
      <c r="D1259" s="631"/>
      <c r="E1259" s="631"/>
      <c r="F1259" s="631"/>
      <c r="G1259" s="631"/>
      <c r="H1259" s="631"/>
    </row>
    <row r="1260" spans="1:8" x14ac:dyDescent="0.2">
      <c r="A1260" s="631"/>
      <c r="B1260" s="631"/>
      <c r="C1260" s="631"/>
      <c r="D1260" s="631"/>
      <c r="E1260" s="631"/>
      <c r="F1260" s="631"/>
      <c r="G1260" s="631"/>
      <c r="H1260" s="631"/>
    </row>
    <row r="1261" spans="1:8" x14ac:dyDescent="0.2">
      <c r="A1261" s="631"/>
      <c r="B1261" s="631"/>
      <c r="C1261" s="631"/>
      <c r="D1261" s="631"/>
      <c r="E1261" s="631"/>
      <c r="F1261" s="631"/>
      <c r="G1261" s="631"/>
      <c r="H1261" s="631"/>
    </row>
    <row r="1262" spans="1:8" x14ac:dyDescent="0.2">
      <c r="A1262" s="631"/>
      <c r="B1262" s="631"/>
      <c r="C1262" s="631"/>
      <c r="D1262" s="631"/>
      <c r="E1262" s="631"/>
      <c r="F1262" s="631"/>
      <c r="G1262" s="631"/>
      <c r="H1262" s="631"/>
    </row>
    <row r="1263" spans="1:8" x14ac:dyDescent="0.2">
      <c r="A1263" s="631"/>
      <c r="B1263" s="631"/>
      <c r="C1263" s="631"/>
      <c r="D1263" s="631"/>
      <c r="E1263" s="631"/>
      <c r="F1263" s="631"/>
      <c r="G1263" s="631"/>
      <c r="H1263" s="631"/>
    </row>
    <row r="1264" spans="1:8" x14ac:dyDescent="0.2">
      <c r="A1264" s="631"/>
      <c r="B1264" s="631"/>
      <c r="C1264" s="631"/>
      <c r="D1264" s="631"/>
      <c r="E1264" s="631"/>
      <c r="F1264" s="631"/>
      <c r="G1264" s="631"/>
      <c r="H1264" s="631"/>
    </row>
    <row r="1265" spans="1:8" x14ac:dyDescent="0.2">
      <c r="A1265" s="631"/>
      <c r="B1265" s="631"/>
      <c r="C1265" s="631"/>
      <c r="D1265" s="631"/>
      <c r="E1265" s="631"/>
      <c r="F1265" s="631"/>
      <c r="G1265" s="631"/>
      <c r="H1265" s="631"/>
    </row>
    <row r="1266" spans="1:8" x14ac:dyDescent="0.2">
      <c r="A1266" s="631"/>
      <c r="B1266" s="631"/>
      <c r="C1266" s="631"/>
      <c r="D1266" s="631"/>
      <c r="E1266" s="631"/>
      <c r="F1266" s="631"/>
      <c r="G1266" s="631"/>
      <c r="H1266" s="631"/>
    </row>
    <row r="1267" spans="1:8" x14ac:dyDescent="0.2">
      <c r="A1267" s="631"/>
      <c r="B1267" s="631"/>
      <c r="C1267" s="631"/>
      <c r="D1267" s="631"/>
      <c r="E1267" s="631"/>
      <c r="F1267" s="631"/>
      <c r="G1267" s="631"/>
      <c r="H1267" s="631"/>
    </row>
    <row r="1268" spans="1:8" x14ac:dyDescent="0.2">
      <c r="A1268" s="631"/>
      <c r="B1268" s="631"/>
      <c r="C1268" s="631"/>
      <c r="D1268" s="631"/>
      <c r="E1268" s="631"/>
      <c r="F1268" s="631"/>
      <c r="G1268" s="631"/>
      <c r="H1268" s="631"/>
    </row>
    <row r="1269" spans="1:8" x14ac:dyDescent="0.2">
      <c r="A1269" s="631"/>
      <c r="B1269" s="631"/>
      <c r="C1269" s="631"/>
      <c r="D1269" s="631"/>
      <c r="E1269" s="631"/>
      <c r="F1269" s="631"/>
      <c r="G1269" s="631"/>
      <c r="H1269" s="631"/>
    </row>
    <row r="1270" spans="1:8" x14ac:dyDescent="0.2">
      <c r="A1270" s="631"/>
      <c r="B1270" s="631"/>
      <c r="C1270" s="631"/>
      <c r="D1270" s="631"/>
      <c r="E1270" s="631"/>
      <c r="F1270" s="631"/>
      <c r="G1270" s="631"/>
      <c r="H1270" s="631"/>
    </row>
    <row r="1271" spans="1:8" x14ac:dyDescent="0.2">
      <c r="A1271" s="631"/>
      <c r="B1271" s="631"/>
      <c r="C1271" s="631"/>
      <c r="D1271" s="631"/>
      <c r="E1271" s="631"/>
      <c r="F1271" s="631"/>
      <c r="G1271" s="631"/>
      <c r="H1271" s="631"/>
    </row>
    <row r="1272" spans="1:8" x14ac:dyDescent="0.2">
      <c r="A1272" s="631"/>
      <c r="B1272" s="631"/>
      <c r="C1272" s="631"/>
      <c r="D1272" s="631"/>
      <c r="E1272" s="631"/>
      <c r="F1272" s="631"/>
      <c r="G1272" s="631"/>
      <c r="H1272" s="631"/>
    </row>
    <row r="1273" spans="1:8" x14ac:dyDescent="0.2">
      <c r="A1273" s="631"/>
      <c r="B1273" s="631"/>
      <c r="C1273" s="631"/>
      <c r="D1273" s="631"/>
      <c r="E1273" s="631"/>
      <c r="F1273" s="631"/>
      <c r="G1273" s="631"/>
      <c r="H1273" s="631"/>
    </row>
    <row r="1274" spans="1:8" x14ac:dyDescent="0.2">
      <c r="A1274" s="631"/>
      <c r="B1274" s="631"/>
      <c r="C1274" s="631"/>
      <c r="D1274" s="631"/>
      <c r="E1274" s="631"/>
      <c r="F1274" s="631"/>
      <c r="G1274" s="631"/>
      <c r="H1274" s="631"/>
    </row>
    <row r="1275" spans="1:8" x14ac:dyDescent="0.2">
      <c r="A1275" s="631"/>
      <c r="B1275" s="631"/>
      <c r="C1275" s="631"/>
      <c r="D1275" s="631"/>
      <c r="E1275" s="631"/>
      <c r="F1275" s="631"/>
      <c r="G1275" s="631"/>
      <c r="H1275" s="631"/>
    </row>
    <row r="1276" spans="1:8" x14ac:dyDescent="0.2">
      <c r="A1276" s="631"/>
      <c r="B1276" s="631"/>
      <c r="C1276" s="631"/>
      <c r="D1276" s="631"/>
      <c r="E1276" s="631"/>
      <c r="F1276" s="631"/>
      <c r="G1276" s="631"/>
      <c r="H1276" s="631"/>
    </row>
    <row r="1277" spans="1:8" x14ac:dyDescent="0.2">
      <c r="A1277" s="631"/>
      <c r="B1277" s="631"/>
      <c r="C1277" s="631"/>
      <c r="D1277" s="631"/>
      <c r="E1277" s="631"/>
      <c r="F1277" s="631"/>
      <c r="G1277" s="631"/>
      <c r="H1277" s="631"/>
    </row>
    <row r="1278" spans="1:8" x14ac:dyDescent="0.2">
      <c r="A1278" s="631"/>
      <c r="B1278" s="631"/>
      <c r="C1278" s="631"/>
      <c r="D1278" s="631"/>
      <c r="E1278" s="631"/>
      <c r="F1278" s="631"/>
      <c r="G1278" s="631"/>
      <c r="H1278" s="631"/>
    </row>
    <row r="1279" spans="1:8" x14ac:dyDescent="0.2">
      <c r="A1279" s="631"/>
      <c r="B1279" s="631"/>
      <c r="C1279" s="631"/>
      <c r="D1279" s="631"/>
      <c r="E1279" s="631"/>
      <c r="F1279" s="631"/>
      <c r="G1279" s="631"/>
      <c r="H1279" s="631"/>
    </row>
    <row r="1280" spans="1:8" x14ac:dyDescent="0.2">
      <c r="A1280" s="631"/>
      <c r="B1280" s="631"/>
      <c r="C1280" s="631"/>
      <c r="D1280" s="631"/>
      <c r="E1280" s="631"/>
      <c r="F1280" s="631"/>
      <c r="G1280" s="631"/>
      <c r="H1280" s="631"/>
    </row>
    <row r="1281" spans="1:8" x14ac:dyDescent="0.2">
      <c r="A1281" s="631"/>
      <c r="B1281" s="631"/>
      <c r="C1281" s="631"/>
      <c r="D1281" s="631"/>
      <c r="E1281" s="631"/>
      <c r="F1281" s="631"/>
      <c r="G1281" s="631"/>
      <c r="H1281" s="631"/>
    </row>
    <row r="1282" spans="1:8" x14ac:dyDescent="0.2">
      <c r="A1282" s="631"/>
      <c r="B1282" s="631"/>
      <c r="C1282" s="631"/>
      <c r="D1282" s="631"/>
      <c r="E1282" s="631"/>
      <c r="F1282" s="631"/>
      <c r="G1282" s="631"/>
      <c r="H1282" s="631"/>
    </row>
    <row r="1283" spans="1:8" x14ac:dyDescent="0.2">
      <c r="A1283" s="631"/>
      <c r="B1283" s="631"/>
      <c r="C1283" s="631"/>
      <c r="D1283" s="631"/>
      <c r="E1283" s="631"/>
      <c r="F1283" s="631"/>
      <c r="G1283" s="631"/>
      <c r="H1283" s="631"/>
    </row>
    <row r="1284" spans="1:8" x14ac:dyDescent="0.2">
      <c r="A1284" s="631"/>
      <c r="B1284" s="631"/>
      <c r="C1284" s="631"/>
      <c r="D1284" s="631"/>
      <c r="E1284" s="631"/>
      <c r="F1284" s="631"/>
      <c r="G1284" s="631"/>
      <c r="H1284" s="631"/>
    </row>
  </sheetData>
  <sheetProtection password="CBAF" sheet="1" objects="1" scenarios="1" selectLockedCells="1"/>
  <mergeCells count="10">
    <mergeCell ref="B3:B7"/>
    <mergeCell ref="F3:F7"/>
    <mergeCell ref="C1:D1"/>
    <mergeCell ref="G3:G7"/>
    <mergeCell ref="E3:E7"/>
    <mergeCell ref="E1:F1"/>
    <mergeCell ref="G1:H1"/>
    <mergeCell ref="H3:H7"/>
    <mergeCell ref="C3:C7"/>
    <mergeCell ref="D3:D7"/>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oglio10">
    <tabColor rgb="FF92D050"/>
    <pageSetUpPr fitToPage="1"/>
  </sheetPr>
  <dimension ref="A1:AG66"/>
  <sheetViews>
    <sheetView showGridLines="0" zoomScale="90" zoomScaleNormal="90" workbookViewId="0">
      <selection activeCell="C9" sqref="C9"/>
    </sheetView>
  </sheetViews>
  <sheetFormatPr defaultColWidth="8.85546875" defaultRowHeight="12.75" x14ac:dyDescent="0.2"/>
  <cols>
    <col min="1" max="1" width="8.85546875" style="60"/>
    <col min="2" max="2" width="2.7109375" style="60" customWidth="1"/>
    <col min="3" max="3" width="34" style="60" customWidth="1"/>
    <col min="4" max="4" width="3.28515625" style="60" customWidth="1"/>
    <col min="5" max="5" width="5.5703125" style="60" customWidth="1"/>
    <col min="6" max="6" width="5" style="60" customWidth="1"/>
    <col min="7" max="7" width="3.28515625" style="60" customWidth="1"/>
    <col min="8" max="8" width="33.7109375" style="60" customWidth="1"/>
    <col min="9" max="9" width="3.140625" style="60" customWidth="1"/>
    <col min="10" max="11" width="5" style="60" customWidth="1"/>
    <col min="12" max="12" width="2.85546875" style="60" customWidth="1"/>
    <col min="13" max="13" width="38.28515625" style="60" customWidth="1"/>
    <col min="14" max="14" width="3" style="60" customWidth="1"/>
    <col min="15" max="24" width="8.85546875" style="60"/>
    <col min="25" max="26" width="8.85546875" style="60" customWidth="1"/>
    <col min="27" max="27" width="8.85546875" style="3" customWidth="1"/>
    <col min="28" max="28" width="12.28515625" style="3" hidden="1" customWidth="1"/>
    <col min="29" max="29" width="13.42578125" style="3" hidden="1" customWidth="1"/>
    <col min="30" max="31" width="8.85546875" style="3" hidden="1" customWidth="1"/>
    <col min="32" max="32" width="19.5703125" style="3" hidden="1" customWidth="1"/>
    <col min="33" max="33" width="8.85546875" style="3" hidden="1" customWidth="1"/>
    <col min="34" max="34" width="8.85546875" style="60" customWidth="1"/>
    <col min="35" max="35" width="11.28515625" style="60" customWidth="1"/>
    <col min="36" max="37" width="8.85546875" style="60" customWidth="1"/>
    <col min="38" max="16384" width="8.85546875" style="60"/>
  </cols>
  <sheetData>
    <row r="1" spans="1:33" s="33" customFormat="1" ht="49.9" customHeight="1" x14ac:dyDescent="0.2"/>
    <row r="2" spans="1:33" x14ac:dyDescent="0.2">
      <c r="B2" s="220"/>
      <c r="C2" s="220"/>
      <c r="D2" s="220"/>
      <c r="E2" s="221" t="str">
        <f>LINGUA!B3</f>
        <v>INSTRUCTIONS: insert input data in grey cells. Results appear in green cells.</v>
      </c>
      <c r="F2" s="220"/>
      <c r="G2" s="220"/>
      <c r="H2" s="220"/>
      <c r="I2" s="220"/>
      <c r="J2" s="220"/>
      <c r="K2" s="220"/>
      <c r="L2" s="220"/>
      <c r="M2" s="220"/>
      <c r="N2" s="220"/>
      <c r="P2" s="62"/>
      <c r="Q2" s="62"/>
      <c r="R2" s="62"/>
      <c r="S2" s="62"/>
      <c r="T2" s="62"/>
      <c r="U2" s="62"/>
      <c r="V2" s="62"/>
      <c r="W2" s="62"/>
      <c r="X2" s="62"/>
      <c r="Y2" s="62"/>
      <c r="Z2" s="62"/>
      <c r="AA2" s="62"/>
      <c r="AB2" s="62"/>
      <c r="AC2" s="62"/>
      <c r="AG2" s="60"/>
    </row>
    <row r="3" spans="1:33" x14ac:dyDescent="0.2">
      <c r="B3" s="220"/>
      <c r="C3" s="220"/>
      <c r="D3" s="220"/>
      <c r="E3" s="222"/>
      <c r="F3" s="222"/>
      <c r="G3" s="223"/>
      <c r="H3" s="220"/>
      <c r="I3" s="220"/>
      <c r="J3" s="220"/>
      <c r="K3" s="220"/>
      <c r="L3" s="220"/>
      <c r="M3" s="220"/>
      <c r="N3" s="220"/>
      <c r="P3" s="62"/>
      <c r="Q3" s="62"/>
      <c r="R3" s="62"/>
      <c r="S3" s="62"/>
      <c r="T3" s="62"/>
      <c r="U3" s="62"/>
      <c r="V3" s="62"/>
      <c r="W3" s="62"/>
      <c r="X3" s="62"/>
      <c r="Y3" s="62"/>
      <c r="Z3" s="62"/>
      <c r="AA3" s="62"/>
      <c r="AB3" s="62"/>
      <c r="AC3" s="62"/>
      <c r="AG3" s="60"/>
    </row>
    <row r="4" spans="1:33" ht="6.6" customHeight="1" x14ac:dyDescent="0.2">
      <c r="B4" s="220"/>
      <c r="C4" s="220"/>
      <c r="D4" s="220"/>
      <c r="E4" s="220"/>
      <c r="F4" s="220"/>
      <c r="G4" s="223"/>
      <c r="H4" s="220"/>
      <c r="I4" s="220"/>
      <c r="J4" s="220"/>
      <c r="K4" s="220"/>
      <c r="L4" s="220"/>
      <c r="M4" s="220"/>
      <c r="N4" s="220"/>
      <c r="P4" s="62"/>
      <c r="Q4" s="62"/>
      <c r="R4" s="62"/>
      <c r="S4" s="62"/>
      <c r="T4" s="62"/>
      <c r="U4" s="62"/>
      <c r="V4" s="62"/>
      <c r="W4" s="62"/>
      <c r="X4" s="62"/>
      <c r="Y4" s="62"/>
      <c r="Z4" s="62"/>
      <c r="AA4" s="62"/>
      <c r="AB4" s="62"/>
      <c r="AC4" s="62"/>
      <c r="AD4" s="3" t="s">
        <v>2343</v>
      </c>
      <c r="AE4" s="3">
        <v>1.006</v>
      </c>
      <c r="AF4" s="3" t="s">
        <v>2344</v>
      </c>
      <c r="AG4" s="60"/>
    </row>
    <row r="5" spans="1:33" x14ac:dyDescent="0.2">
      <c r="B5" s="220"/>
      <c r="C5" s="220"/>
      <c r="D5" s="220"/>
      <c r="E5" s="220"/>
      <c r="F5" s="220"/>
      <c r="G5" s="220"/>
      <c r="H5" s="220"/>
      <c r="I5" s="220"/>
      <c r="J5" s="220"/>
      <c r="K5" s="220"/>
      <c r="L5" s="220"/>
      <c r="M5" s="220"/>
      <c r="N5" s="220"/>
    </row>
    <row r="6" spans="1:33" ht="25.15" customHeight="1" x14ac:dyDescent="0.2">
      <c r="B6" s="784" t="s">
        <v>1167</v>
      </c>
      <c r="C6" s="784"/>
      <c r="D6" s="784"/>
      <c r="E6" s="220"/>
      <c r="F6" s="220"/>
      <c r="G6" s="785" t="str">
        <f>LINGUA!B6</f>
        <v>External Air</v>
      </c>
      <c r="H6" s="785"/>
      <c r="I6" s="785"/>
      <c r="J6" s="220"/>
      <c r="K6" s="220"/>
      <c r="L6" s="784" t="s">
        <v>1168</v>
      </c>
      <c r="M6" s="784"/>
      <c r="N6" s="784"/>
    </row>
    <row r="7" spans="1:33" ht="9" customHeight="1" x14ac:dyDescent="0.2">
      <c r="A7" s="62"/>
      <c r="B7" s="224"/>
      <c r="C7" s="225"/>
      <c r="D7" s="226"/>
      <c r="E7" s="223"/>
      <c r="F7" s="223"/>
      <c r="G7" s="224"/>
      <c r="H7" s="225"/>
      <c r="I7" s="226"/>
      <c r="J7" s="220"/>
      <c r="K7" s="220"/>
      <c r="L7" s="224"/>
      <c r="M7" s="225"/>
      <c r="N7" s="226"/>
    </row>
    <row r="8" spans="1:33" x14ac:dyDescent="0.2">
      <c r="A8" s="62"/>
      <c r="B8" s="227"/>
      <c r="C8" s="228" t="str">
        <f>LINGUA!B45</f>
        <v>Steam distributor</v>
      </c>
      <c r="D8" s="229"/>
      <c r="E8" s="223"/>
      <c r="F8" s="223"/>
      <c r="G8" s="227"/>
      <c r="H8" s="230" t="str">
        <f>LINGUA!B10</f>
        <v>Temperature</v>
      </c>
      <c r="I8" s="229"/>
      <c r="J8" s="220"/>
      <c r="K8" s="220"/>
      <c r="L8" s="227"/>
      <c r="M8" s="228" t="str">
        <f>LINGUA!B59</f>
        <v>Max kg/h per distributor</v>
      </c>
      <c r="N8" s="229"/>
    </row>
    <row r="9" spans="1:33" x14ac:dyDescent="0.2">
      <c r="A9" s="62"/>
      <c r="B9" s="227"/>
      <c r="C9" s="231" t="s">
        <v>255</v>
      </c>
      <c r="D9" s="232"/>
      <c r="E9" s="223"/>
      <c r="F9" s="223"/>
      <c r="G9" s="227"/>
      <c r="H9" s="233">
        <f>DESIGN!E37</f>
        <v>-5</v>
      </c>
      <c r="I9" s="232"/>
      <c r="J9" s="220"/>
      <c r="K9" s="220"/>
      <c r="L9" s="227"/>
      <c r="M9" s="234">
        <f>LOOKUP(AF36,AB15:AB35,AE15:AE35)</f>
        <v>25</v>
      </c>
      <c r="N9" s="229"/>
    </row>
    <row r="10" spans="1:33" x14ac:dyDescent="0.2">
      <c r="A10" s="62"/>
      <c r="B10" s="227"/>
      <c r="C10" s="223"/>
      <c r="D10" s="235"/>
      <c r="E10" s="223"/>
      <c r="F10" s="223"/>
      <c r="G10" s="227"/>
      <c r="H10" s="222"/>
      <c r="I10" s="235"/>
      <c r="J10" s="220"/>
      <c r="K10" s="220"/>
      <c r="L10" s="227"/>
      <c r="M10" s="223"/>
      <c r="N10" s="229"/>
    </row>
    <row r="11" spans="1:33" x14ac:dyDescent="0.2">
      <c r="B11" s="227"/>
      <c r="C11" s="228" t="str">
        <f>LINGUA!B57</f>
        <v>No. of distributors in the duct</v>
      </c>
      <c r="D11" s="235"/>
      <c r="E11" s="223"/>
      <c r="F11" s="223"/>
      <c r="G11" s="227"/>
      <c r="H11" s="230" t="str">
        <f>LINGUA!B9</f>
        <v>Relative humidity</v>
      </c>
      <c r="I11" s="235"/>
      <c r="J11" s="220"/>
      <c r="K11" s="220"/>
      <c r="L11" s="227"/>
      <c r="M11" s="228" t="str">
        <f>LINGUA!B60</f>
        <v>Distributor length (mm)</v>
      </c>
      <c r="N11" s="229"/>
    </row>
    <row r="12" spans="1:33" x14ac:dyDescent="0.2">
      <c r="B12" s="227"/>
      <c r="C12" s="231">
        <v>2</v>
      </c>
      <c r="D12" s="232"/>
      <c r="E12" s="223"/>
      <c r="F12" s="223"/>
      <c r="G12" s="227"/>
      <c r="H12" s="236">
        <f>DESIGN!E36</f>
        <v>0.9</v>
      </c>
      <c r="I12" s="232"/>
      <c r="J12" s="220"/>
      <c r="K12" s="220"/>
      <c r="L12" s="227"/>
      <c r="M12" s="234">
        <f>LOOKUP(AF36,AB15:AB35,AD15:AD35)</f>
        <v>834</v>
      </c>
      <c r="N12" s="229"/>
    </row>
    <row r="13" spans="1:33" x14ac:dyDescent="0.2">
      <c r="B13" s="227"/>
      <c r="C13" s="223"/>
      <c r="D13" s="235"/>
      <c r="E13" s="223"/>
      <c r="F13" s="223"/>
      <c r="G13" s="237"/>
      <c r="H13" s="238"/>
      <c r="I13" s="239"/>
      <c r="J13" s="220"/>
      <c r="K13" s="220"/>
      <c r="L13" s="227"/>
      <c r="M13" s="223"/>
      <c r="N13" s="229"/>
    </row>
    <row r="14" spans="1:33" x14ac:dyDescent="0.2">
      <c r="B14" s="240"/>
      <c r="C14" s="228" t="str">
        <f>LINGUA!B58</f>
        <v>Humidifier capacity (kg/h)</v>
      </c>
      <c r="D14" s="235"/>
      <c r="E14" s="223"/>
      <c r="F14" s="223"/>
      <c r="G14" s="220"/>
      <c r="H14" s="220"/>
      <c r="I14" s="220"/>
      <c r="J14" s="220"/>
      <c r="K14" s="220"/>
      <c r="L14" s="227"/>
      <c r="M14" s="241" t="str">
        <f>LINGUA!B20</f>
        <v>Air speed</v>
      </c>
      <c r="N14" s="229"/>
      <c r="AB14" s="3" t="s">
        <v>958</v>
      </c>
      <c r="AC14" s="3" t="s">
        <v>2345</v>
      </c>
      <c r="AD14" s="3" t="s">
        <v>2346</v>
      </c>
      <c r="AE14" s="3" t="s">
        <v>2347</v>
      </c>
    </row>
    <row r="15" spans="1:33" x14ac:dyDescent="0.2">
      <c r="B15" s="240"/>
      <c r="C15" s="271">
        <v>40</v>
      </c>
      <c r="D15" s="242"/>
      <c r="E15" s="223"/>
      <c r="F15" s="223"/>
      <c r="G15" s="784" t="str">
        <f>LINGUA!B14</f>
        <v>Duct</v>
      </c>
      <c r="H15" s="784"/>
      <c r="I15" s="784"/>
      <c r="J15" s="220"/>
      <c r="K15" s="220"/>
      <c r="L15" s="227"/>
      <c r="M15" s="243">
        <f>AG47</f>
        <v>2.1043771043771042</v>
      </c>
      <c r="N15" s="229"/>
      <c r="AB15" s="3">
        <v>1</v>
      </c>
      <c r="AC15" s="3" t="s">
        <v>1215</v>
      </c>
      <c r="AD15" s="3">
        <v>300</v>
      </c>
      <c r="AE15" s="3">
        <v>4</v>
      </c>
      <c r="AF15" s="3">
        <f t="shared" ref="AF15:AF35" si="0">IF(AC15=$C$9,1,0)*AB15</f>
        <v>0</v>
      </c>
    </row>
    <row r="16" spans="1:33" x14ac:dyDescent="0.2">
      <c r="B16" s="244"/>
      <c r="C16" s="245"/>
      <c r="D16" s="246"/>
      <c r="E16" s="223"/>
      <c r="F16" s="223"/>
      <c r="G16" s="224"/>
      <c r="H16" s="225"/>
      <c r="I16" s="226"/>
      <c r="J16" s="220"/>
      <c r="K16" s="220"/>
      <c r="L16" s="227"/>
      <c r="M16" s="223"/>
      <c r="N16" s="229"/>
      <c r="AB16" s="3">
        <f t="shared" ref="AB16:AB35" si="1">AB15+1</f>
        <v>2</v>
      </c>
      <c r="AC16" s="3" t="s">
        <v>245</v>
      </c>
      <c r="AD16" s="3">
        <v>332</v>
      </c>
      <c r="AE16" s="3">
        <v>4</v>
      </c>
      <c r="AF16" s="3">
        <f t="shared" si="0"/>
        <v>0</v>
      </c>
    </row>
    <row r="17" spans="1:32" x14ac:dyDescent="0.2">
      <c r="A17" s="63"/>
      <c r="B17" s="223"/>
      <c r="C17" s="220"/>
      <c r="D17" s="222"/>
      <c r="E17" s="223"/>
      <c r="F17" s="223"/>
      <c r="G17" s="227"/>
      <c r="H17" s="228" t="str">
        <f>LINGUA!B18</f>
        <v>Air flow V</v>
      </c>
      <c r="I17" s="247"/>
      <c r="J17" s="220"/>
      <c r="K17" s="220"/>
      <c r="L17" s="227"/>
      <c r="M17" s="228" t="str">
        <f>LINGUA!B61</f>
        <v>Humidification distance (m)</v>
      </c>
      <c r="N17" s="229"/>
      <c r="AB17" s="3">
        <f t="shared" si="1"/>
        <v>3</v>
      </c>
      <c r="AC17" s="3" t="s">
        <v>246</v>
      </c>
      <c r="AD17" s="3">
        <v>438</v>
      </c>
      <c r="AE17" s="3">
        <v>6</v>
      </c>
      <c r="AF17" s="3">
        <f t="shared" si="0"/>
        <v>0</v>
      </c>
    </row>
    <row r="18" spans="1:32" x14ac:dyDescent="0.2">
      <c r="A18" s="63"/>
      <c r="B18" s="223"/>
      <c r="C18" s="220"/>
      <c r="D18" s="248"/>
      <c r="E18" s="223"/>
      <c r="F18" s="223"/>
      <c r="G18" s="227"/>
      <c r="H18" s="249">
        <f>DESIGN!E77</f>
        <v>10000</v>
      </c>
      <c r="I18" s="232"/>
      <c r="J18" s="220"/>
      <c r="K18" s="220"/>
      <c r="L18" s="227"/>
      <c r="M18" s="243">
        <f>ROUNDUP(IF(AND(G28="",G29=""),0.05+IF((3.26/(LN(0.119*AE51*((C15/(C12*(M12/1000)))^(0.26))*(AG47^(0.086))))^2)&lt;0,0,(3.26/(LN(0.119*AE51*((C15/(C12*(M12/1000)))^(0.26))*(AG47^(0.086))))^2)),"")*1.1,2)</f>
        <v>0.61</v>
      </c>
      <c r="N18" s="229"/>
      <c r="P18" s="633" t="s">
        <v>2946</v>
      </c>
      <c r="AB18" s="3">
        <f t="shared" si="1"/>
        <v>4</v>
      </c>
      <c r="AC18" s="3" t="s">
        <v>247</v>
      </c>
      <c r="AD18" s="3">
        <v>597</v>
      </c>
      <c r="AE18" s="3">
        <v>9</v>
      </c>
      <c r="AF18" s="3">
        <f t="shared" si="0"/>
        <v>0</v>
      </c>
    </row>
    <row r="19" spans="1:32" x14ac:dyDescent="0.2">
      <c r="A19" s="63"/>
      <c r="B19" s="223"/>
      <c r="C19" s="223"/>
      <c r="D19" s="222"/>
      <c r="E19" s="223"/>
      <c r="F19" s="223"/>
      <c r="G19" s="227"/>
      <c r="H19" s="223"/>
      <c r="I19" s="235"/>
      <c r="J19" s="220"/>
      <c r="K19" s="220"/>
      <c r="L19" s="237"/>
      <c r="M19" s="250"/>
      <c r="N19" s="251"/>
      <c r="AB19" s="3">
        <f t="shared" si="1"/>
        <v>5</v>
      </c>
      <c r="AC19" s="3" t="s">
        <v>248</v>
      </c>
      <c r="AD19" s="3">
        <v>835</v>
      </c>
      <c r="AE19" s="3">
        <v>9</v>
      </c>
      <c r="AF19" s="3">
        <f t="shared" si="0"/>
        <v>0</v>
      </c>
    </row>
    <row r="20" spans="1:32" x14ac:dyDescent="0.2">
      <c r="B20" s="220"/>
      <c r="C20" s="220"/>
      <c r="D20" s="220"/>
      <c r="E20" s="174"/>
      <c r="F20" s="174"/>
      <c r="G20" s="227"/>
      <c r="H20" s="228" t="str">
        <f>LINGUA!B16</f>
        <v>Internal height C2</v>
      </c>
      <c r="I20" s="229"/>
      <c r="J20" s="220"/>
      <c r="K20" s="220"/>
      <c r="L20" s="220"/>
      <c r="M20" s="220"/>
      <c r="N20" s="220"/>
      <c r="AB20" s="3">
        <f t="shared" si="1"/>
        <v>6</v>
      </c>
      <c r="AC20" s="3" t="s">
        <v>1216</v>
      </c>
      <c r="AD20" s="3">
        <v>300</v>
      </c>
      <c r="AE20" s="3">
        <v>15</v>
      </c>
      <c r="AF20" s="3">
        <f t="shared" si="0"/>
        <v>0</v>
      </c>
    </row>
    <row r="21" spans="1:32" x14ac:dyDescent="0.2">
      <c r="B21" s="220"/>
      <c r="C21" s="220"/>
      <c r="D21" s="220"/>
      <c r="E21" s="174"/>
      <c r="F21" s="174"/>
      <c r="G21" s="227"/>
      <c r="H21" s="233">
        <f>DESIGN!E76</f>
        <v>1100</v>
      </c>
      <c r="I21" s="229"/>
      <c r="J21" s="220"/>
      <c r="K21" s="220"/>
      <c r="L21" s="220"/>
      <c r="M21" s="220"/>
      <c r="N21" s="220"/>
      <c r="AB21" s="3">
        <f t="shared" si="1"/>
        <v>7</v>
      </c>
      <c r="AC21" s="3" t="s">
        <v>249</v>
      </c>
      <c r="AD21" s="3">
        <v>343</v>
      </c>
      <c r="AE21" s="3">
        <v>5</v>
      </c>
      <c r="AF21" s="3">
        <f t="shared" si="0"/>
        <v>0</v>
      </c>
    </row>
    <row r="22" spans="1:32" x14ac:dyDescent="0.2">
      <c r="B22" s="220"/>
      <c r="C22" s="220"/>
      <c r="D22" s="220"/>
      <c r="E22" s="174"/>
      <c r="F22" s="174"/>
      <c r="G22" s="227"/>
      <c r="H22" s="223"/>
      <c r="I22" s="229"/>
      <c r="J22" s="220"/>
      <c r="K22" s="220"/>
      <c r="L22" s="220"/>
      <c r="M22" s="220"/>
      <c r="N22" s="220"/>
      <c r="AB22" s="3">
        <f t="shared" si="1"/>
        <v>8</v>
      </c>
      <c r="AC22" s="3" t="s">
        <v>250</v>
      </c>
      <c r="AD22" s="3">
        <v>427</v>
      </c>
      <c r="AE22" s="3">
        <v>8</v>
      </c>
      <c r="AF22" s="3">
        <f t="shared" si="0"/>
        <v>0</v>
      </c>
    </row>
    <row r="23" spans="1:32" x14ac:dyDescent="0.2">
      <c r="B23" s="223"/>
      <c r="C23" s="220"/>
      <c r="D23" s="220"/>
      <c r="E23" s="223"/>
      <c r="F23" s="223"/>
      <c r="G23" s="227"/>
      <c r="H23" s="228" t="str">
        <f>LINGUA!B15</f>
        <v>Internal width C1</v>
      </c>
      <c r="I23" s="229"/>
      <c r="J23" s="220"/>
      <c r="K23" s="220"/>
      <c r="L23" s="220"/>
      <c r="M23" s="220"/>
      <c r="N23" s="220"/>
      <c r="AB23" s="3">
        <f t="shared" si="1"/>
        <v>9</v>
      </c>
      <c r="AC23" s="3" t="s">
        <v>1217</v>
      </c>
      <c r="AD23" s="3">
        <v>450</v>
      </c>
      <c r="AE23" s="3">
        <v>15</v>
      </c>
      <c r="AF23" s="3">
        <f t="shared" si="0"/>
        <v>0</v>
      </c>
    </row>
    <row r="24" spans="1:32" x14ac:dyDescent="0.2">
      <c r="B24" s="223"/>
      <c r="C24" s="220"/>
      <c r="D24" s="220"/>
      <c r="E24" s="223"/>
      <c r="F24" s="223"/>
      <c r="G24" s="227"/>
      <c r="H24" s="233">
        <f>DESIGN!E75</f>
        <v>1200</v>
      </c>
      <c r="I24" s="229"/>
      <c r="J24" s="220"/>
      <c r="K24" s="220"/>
      <c r="L24" s="220"/>
      <c r="M24" s="220"/>
      <c r="N24" s="220"/>
      <c r="AB24" s="3">
        <f t="shared" si="1"/>
        <v>10</v>
      </c>
      <c r="AC24" s="3" t="s">
        <v>251</v>
      </c>
      <c r="AD24" s="3">
        <v>596</v>
      </c>
      <c r="AE24" s="3">
        <v>12</v>
      </c>
      <c r="AF24" s="3">
        <f t="shared" si="0"/>
        <v>0</v>
      </c>
    </row>
    <row r="25" spans="1:32" x14ac:dyDescent="0.2">
      <c r="B25" s="220"/>
      <c r="C25" s="220"/>
      <c r="D25" s="220"/>
      <c r="E25" s="220"/>
      <c r="F25" s="220"/>
      <c r="G25" s="237"/>
      <c r="H25" s="250"/>
      <c r="I25" s="251"/>
      <c r="J25" s="220"/>
      <c r="K25" s="220"/>
      <c r="L25" s="228" t="str">
        <f>LINGUA!B62</f>
        <v xml:space="preserve">The humidification distance is calculated using the work of Gundacker </v>
      </c>
      <c r="M25" s="220"/>
      <c r="N25" s="220"/>
      <c r="AB25" s="3">
        <f t="shared" si="1"/>
        <v>11</v>
      </c>
      <c r="AC25" s="3" t="s">
        <v>1218</v>
      </c>
      <c r="AD25" s="3">
        <v>600</v>
      </c>
      <c r="AE25" s="3">
        <v>15</v>
      </c>
      <c r="AF25" s="3">
        <f t="shared" si="0"/>
        <v>0</v>
      </c>
    </row>
    <row r="26" spans="1:32" x14ac:dyDescent="0.2">
      <c r="AB26" s="3">
        <f t="shared" si="1"/>
        <v>12</v>
      </c>
      <c r="AC26" s="3" t="s">
        <v>252</v>
      </c>
      <c r="AD26" s="3">
        <v>850</v>
      </c>
      <c r="AE26" s="3">
        <v>18</v>
      </c>
      <c r="AF26" s="3">
        <f t="shared" si="0"/>
        <v>0</v>
      </c>
    </row>
    <row r="27" spans="1:32" x14ac:dyDescent="0.2">
      <c r="E27" s="63"/>
      <c r="F27" s="63"/>
      <c r="G27" s="63"/>
      <c r="AB27" s="3">
        <f t="shared" si="1"/>
        <v>13</v>
      </c>
      <c r="AC27" s="3" t="s">
        <v>253</v>
      </c>
      <c r="AD27" s="3">
        <v>1048</v>
      </c>
      <c r="AE27" s="3">
        <v>18</v>
      </c>
      <c r="AF27" s="3">
        <f t="shared" si="0"/>
        <v>0</v>
      </c>
    </row>
    <row r="28" spans="1:32" ht="18" x14ac:dyDescent="0.25">
      <c r="B28" s="63"/>
      <c r="D28" s="95" t="str">
        <f>IF(OR(G28&lt;&gt;"",G29&lt;&gt;"",G30&lt;&gt;"",),"ERROR", "")</f>
        <v/>
      </c>
      <c r="E28" s="63"/>
      <c r="F28" s="63"/>
      <c r="G28" s="94" t="str">
        <f>IF(M12&gt;H24,LINGUA!B63,"")</f>
        <v/>
      </c>
      <c r="H28" s="64"/>
      <c r="AB28" s="3">
        <f t="shared" si="1"/>
        <v>14</v>
      </c>
      <c r="AC28" s="3" t="s">
        <v>254</v>
      </c>
      <c r="AD28" s="3">
        <v>1245</v>
      </c>
      <c r="AE28" s="3">
        <v>18</v>
      </c>
      <c r="AF28" s="3">
        <f t="shared" si="0"/>
        <v>0</v>
      </c>
    </row>
    <row r="29" spans="1:32" ht="15.75" x14ac:dyDescent="0.25">
      <c r="B29" s="63"/>
      <c r="E29" s="63"/>
      <c r="F29" s="63"/>
      <c r="G29" s="96" t="str">
        <f>IF((M9*C12)&lt;C15,LINGUA!B64,"")</f>
        <v/>
      </c>
      <c r="H29" s="97"/>
      <c r="AB29" s="3">
        <f t="shared" si="1"/>
        <v>15</v>
      </c>
      <c r="AC29" s="3" t="s">
        <v>1219</v>
      </c>
      <c r="AD29" s="3">
        <v>1640</v>
      </c>
      <c r="AE29" s="3">
        <v>18</v>
      </c>
      <c r="AF29" s="3">
        <f t="shared" si="0"/>
        <v>0</v>
      </c>
    </row>
    <row r="30" spans="1:32" ht="15.75" x14ac:dyDescent="0.25">
      <c r="B30" s="63"/>
      <c r="E30" s="63"/>
      <c r="F30" s="63"/>
      <c r="G30" s="96" t="str">
        <f>IF(C15/H18/1.2*1000+DESIGN!J36&gt;AE50*1000,LINGUA!B519,"")</f>
        <v/>
      </c>
      <c r="H30" s="97"/>
      <c r="AB30" s="3">
        <f t="shared" si="1"/>
        <v>16</v>
      </c>
      <c r="AC30" s="3" t="s">
        <v>1220</v>
      </c>
      <c r="AD30" s="3">
        <v>600</v>
      </c>
      <c r="AE30" s="3">
        <v>45</v>
      </c>
      <c r="AF30" s="3">
        <f t="shared" si="0"/>
        <v>0</v>
      </c>
    </row>
    <row r="31" spans="1:32" x14ac:dyDescent="0.2">
      <c r="B31" s="63"/>
      <c r="E31" s="63"/>
      <c r="F31" s="63"/>
      <c r="G31" s="63"/>
      <c r="AB31" s="3">
        <f t="shared" si="1"/>
        <v>17</v>
      </c>
      <c r="AC31" s="3" t="s">
        <v>255</v>
      </c>
      <c r="AD31" s="3">
        <v>834</v>
      </c>
      <c r="AE31" s="3">
        <v>25</v>
      </c>
      <c r="AF31" s="3">
        <f t="shared" si="0"/>
        <v>17</v>
      </c>
    </row>
    <row r="32" spans="1:32" x14ac:dyDescent="0.2">
      <c r="B32" s="63"/>
      <c r="C32" s="377"/>
      <c r="E32" s="63"/>
      <c r="F32" s="63"/>
      <c r="AB32" s="3">
        <f t="shared" si="1"/>
        <v>18</v>
      </c>
      <c r="AC32" s="3" t="s">
        <v>256</v>
      </c>
      <c r="AD32" s="3">
        <v>1015</v>
      </c>
      <c r="AE32" s="3">
        <v>35</v>
      </c>
      <c r="AF32" s="3">
        <f t="shared" si="0"/>
        <v>0</v>
      </c>
    </row>
    <row r="33" spans="2:33" x14ac:dyDescent="0.2">
      <c r="B33" s="66"/>
      <c r="C33" s="67"/>
      <c r="D33" s="67"/>
      <c r="E33" s="66"/>
      <c r="F33" s="66"/>
      <c r="G33" s="63"/>
      <c r="AB33" s="3">
        <f t="shared" si="1"/>
        <v>19</v>
      </c>
      <c r="AC33" s="3" t="s">
        <v>257</v>
      </c>
      <c r="AD33" s="3">
        <v>1222</v>
      </c>
      <c r="AE33" s="3">
        <v>45</v>
      </c>
      <c r="AF33" s="3">
        <f t="shared" si="0"/>
        <v>0</v>
      </c>
    </row>
    <row r="34" spans="2:33" x14ac:dyDescent="0.2">
      <c r="B34" s="62"/>
      <c r="C34" s="67"/>
      <c r="D34" s="67"/>
      <c r="E34" s="62"/>
      <c r="F34" s="62"/>
      <c r="AB34" s="3">
        <f t="shared" si="1"/>
        <v>20</v>
      </c>
      <c r="AC34" s="3" t="s">
        <v>244</v>
      </c>
      <c r="AD34" s="3">
        <v>1636</v>
      </c>
      <c r="AE34" s="3">
        <v>45</v>
      </c>
      <c r="AF34" s="3">
        <f t="shared" si="0"/>
        <v>0</v>
      </c>
    </row>
    <row r="35" spans="2:33" x14ac:dyDescent="0.2">
      <c r="B35" s="62"/>
      <c r="C35" s="67"/>
      <c r="D35" s="67"/>
      <c r="E35" s="62"/>
      <c r="F35" s="62"/>
      <c r="AB35" s="3">
        <f t="shared" si="1"/>
        <v>21</v>
      </c>
      <c r="AC35" s="3" t="s">
        <v>243</v>
      </c>
      <c r="AD35" s="3">
        <v>2025</v>
      </c>
      <c r="AE35" s="3">
        <v>45</v>
      </c>
      <c r="AF35" s="3">
        <f t="shared" si="0"/>
        <v>0</v>
      </c>
    </row>
    <row r="36" spans="2:33" x14ac:dyDescent="0.2">
      <c r="E36" s="66"/>
      <c r="F36" s="66"/>
      <c r="AF36" s="68">
        <f>SUM(AF15:AF35)</f>
        <v>17</v>
      </c>
    </row>
    <row r="39" spans="2:33" x14ac:dyDescent="0.2">
      <c r="AB39" s="69" t="s">
        <v>2348</v>
      </c>
      <c r="AC39" s="70">
        <v>-5674.3590000000004</v>
      </c>
      <c r="AD39" s="71">
        <v>-5800.2205999999996</v>
      </c>
      <c r="AE39" s="69" t="s">
        <v>863</v>
      </c>
      <c r="AF39" s="72">
        <v>1.006</v>
      </c>
    </row>
    <row r="40" spans="2:33" x14ac:dyDescent="0.2">
      <c r="AB40" s="73" t="s">
        <v>2349</v>
      </c>
      <c r="AC40" s="39">
        <v>6.3925247000000001</v>
      </c>
      <c r="AD40" s="74">
        <v>1.3914993</v>
      </c>
      <c r="AE40" s="73" t="s">
        <v>864</v>
      </c>
      <c r="AF40" s="75">
        <v>1.8049999999999999</v>
      </c>
    </row>
    <row r="41" spans="2:33" x14ac:dyDescent="0.2">
      <c r="I41" s="65"/>
      <c r="AB41" s="73" t="s">
        <v>2350</v>
      </c>
      <c r="AC41" s="39">
        <v>-9.6778430000000002E-3</v>
      </c>
      <c r="AD41" s="74">
        <v>-4.8640239000000002E-2</v>
      </c>
      <c r="AE41" s="73" t="s">
        <v>865</v>
      </c>
      <c r="AF41" s="75">
        <v>2501</v>
      </c>
    </row>
    <row r="42" spans="2:33" x14ac:dyDescent="0.2">
      <c r="C42" s="61"/>
      <c r="AB42" s="73" t="s">
        <v>1211</v>
      </c>
      <c r="AC42" s="76">
        <v>6.2215700999999996E-7</v>
      </c>
      <c r="AD42" s="76">
        <v>4.1764768000000003E-5</v>
      </c>
      <c r="AE42" s="73" t="s">
        <v>866</v>
      </c>
      <c r="AF42" s="75">
        <v>8313.6</v>
      </c>
    </row>
    <row r="43" spans="2:33" x14ac:dyDescent="0.2">
      <c r="D43" s="62"/>
      <c r="E43" s="62"/>
      <c r="F43" s="62"/>
      <c r="G43" s="62"/>
      <c r="H43" s="62"/>
      <c r="AB43" s="73" t="s">
        <v>2351</v>
      </c>
      <c r="AC43" s="76">
        <v>2.0747825000000001E-9</v>
      </c>
      <c r="AD43" s="76">
        <v>-1.4452092999999999E-8</v>
      </c>
      <c r="AE43" s="73" t="s">
        <v>2352</v>
      </c>
      <c r="AF43" s="75">
        <v>1.004</v>
      </c>
    </row>
    <row r="44" spans="2:33" x14ac:dyDescent="0.2">
      <c r="D44" s="62"/>
      <c r="E44" s="62"/>
      <c r="F44" s="62"/>
      <c r="G44" s="62"/>
      <c r="H44" s="62"/>
      <c r="AB44" s="73" t="s">
        <v>2353</v>
      </c>
      <c r="AC44" s="76">
        <v>-9.4840240000000005E-13</v>
      </c>
      <c r="AD44" s="74">
        <v>0</v>
      </c>
      <c r="AE44" s="73" t="s">
        <v>2354</v>
      </c>
      <c r="AF44" s="75">
        <v>0.62197999999999998</v>
      </c>
    </row>
    <row r="45" spans="2:33" x14ac:dyDescent="0.2">
      <c r="D45" s="62"/>
      <c r="E45" s="62"/>
      <c r="F45" s="62"/>
      <c r="G45" s="77"/>
      <c r="H45" s="62"/>
      <c r="AB45" s="78" t="s">
        <v>2355</v>
      </c>
      <c r="AC45" s="79">
        <v>4.1635019</v>
      </c>
      <c r="AD45" s="79">
        <v>6.5459673</v>
      </c>
      <c r="AE45" s="80"/>
      <c r="AF45" s="81"/>
    </row>
    <row r="46" spans="2:33" x14ac:dyDescent="0.2">
      <c r="D46" s="62"/>
      <c r="E46" s="62"/>
      <c r="F46" s="62"/>
      <c r="G46" s="82"/>
      <c r="H46" s="62"/>
      <c r="AB46" s="83" t="s">
        <v>2356</v>
      </c>
      <c r="AC46" s="84">
        <f>H9</f>
        <v>-5</v>
      </c>
      <c r="AD46" s="83" t="s">
        <v>2357</v>
      </c>
      <c r="AE46" s="266">
        <f>DESIGN!E42</f>
        <v>20</v>
      </c>
      <c r="AF46" s="83" t="s">
        <v>2358</v>
      </c>
      <c r="AG46" s="266">
        <f>1.293*(AC50/101325)*(273.15/DESIGN!AF43)*(1/(1+1.6078*DESIGN!AF45/1000))</f>
        <v>1.2045707891199364</v>
      </c>
    </row>
    <row r="47" spans="2:33" x14ac:dyDescent="0.2">
      <c r="D47" s="62"/>
      <c r="E47" s="62"/>
      <c r="F47" s="62"/>
      <c r="G47" s="62"/>
      <c r="H47" s="62"/>
      <c r="AB47" s="85" t="s">
        <v>2359</v>
      </c>
      <c r="AC47" s="86">
        <f>H12</f>
        <v>0.9</v>
      </c>
      <c r="AD47" s="85"/>
      <c r="AE47" s="81"/>
      <c r="AF47" s="93" t="s">
        <v>1166</v>
      </c>
      <c r="AG47" s="268">
        <f>DESIGN!E79</f>
        <v>2.1043771043771042</v>
      </c>
    </row>
    <row r="48" spans="2:33" x14ac:dyDescent="0.2">
      <c r="D48" s="62"/>
      <c r="E48" s="62"/>
      <c r="F48" s="62"/>
      <c r="G48" s="66"/>
      <c r="H48" s="62"/>
      <c r="AB48" s="85" t="s">
        <v>2360</v>
      </c>
      <c r="AC48" s="81">
        <f>AC46+273.15</f>
        <v>268.14999999999998</v>
      </c>
      <c r="AD48" s="85" t="s">
        <v>2361</v>
      </c>
      <c r="AE48" s="81">
        <f>AE46+273.15</f>
        <v>293.14999999999998</v>
      </c>
      <c r="AF48" s="85" t="s">
        <v>2362</v>
      </c>
      <c r="AG48" s="272">
        <f>AG49-AC51*1000</f>
        <v>3.3333012521264864</v>
      </c>
    </row>
    <row r="49" spans="3:33" x14ac:dyDescent="0.2">
      <c r="D49" s="62"/>
      <c r="E49" s="62"/>
      <c r="F49" s="62"/>
      <c r="G49" s="62"/>
      <c r="H49" s="62"/>
      <c r="AB49" s="85" t="s">
        <v>2363</v>
      </c>
      <c r="AC49" s="81">
        <f>IF(AC46&lt;0,EXP($AC$39/AC48+$AC$40+$AC$41*AC48+$AC$42*AC48^2+$AC$43*AC48^3+$AC$44*AC48^4+$AC$45*LN(AC48)),EXP($AD$39/AC48+$AD$40+$AD$41*AC48+$AD$42*AC48^2+$AD$43*AC48^3+$AD$44*AC48^4+$AD$45*LN(AC48)))</f>
        <v>402.02925588076624</v>
      </c>
      <c r="AD49" s="85" t="s">
        <v>1159</v>
      </c>
      <c r="AE49" s="81">
        <f>IF(AE46&lt;0,EXP($AC$39/AE48+$AC$40+$AC$41*AE48+$AC$42*AE48^2+$AC$43*AE48^3+$AC$44*AE48^4+$AC$45*LN(AE48)),EXP($AD$39/AE48+$AD$40+$AD$41*AE48+$AD$42*AE48^2+$AD$43*AE48^3+$AD$44*AE48^4+$AD$45*LN(AE48)))</f>
        <v>2338.8037000739814</v>
      </c>
      <c r="AF49" s="85" t="s">
        <v>1160</v>
      </c>
      <c r="AG49" s="272">
        <f>IF(C15/H18/1.2*1000+DESIGN!J36&lt;=AE50*1000,C15/H18/1.2*1000+DESIGN!J36,AE50*1000)</f>
        <v>5.5712674994906113</v>
      </c>
    </row>
    <row r="50" spans="3:33" x14ac:dyDescent="0.2">
      <c r="D50" s="62"/>
      <c r="E50" s="62"/>
      <c r="F50" s="62"/>
      <c r="G50" s="62"/>
      <c r="H50" s="62"/>
      <c r="AB50" s="85" t="s">
        <v>1161</v>
      </c>
      <c r="AC50" s="267">
        <f>DESIGN!W42</f>
        <v>101325</v>
      </c>
      <c r="AD50" s="85" t="s">
        <v>1162</v>
      </c>
      <c r="AE50" s="81">
        <f>0.62198*1.004*AE49/(AC50-1.004*AE49)</f>
        <v>1.4756056728637994E-2</v>
      </c>
      <c r="AF50" s="85" t="s">
        <v>1163</v>
      </c>
      <c r="AG50" s="269">
        <f>DESIGN!Z43-273.15</f>
        <v>20</v>
      </c>
    </row>
    <row r="51" spans="3:33" x14ac:dyDescent="0.2">
      <c r="D51" s="62"/>
      <c r="E51" s="62"/>
      <c r="F51" s="62"/>
      <c r="G51" s="87"/>
      <c r="H51" s="62"/>
      <c r="AB51" s="80" t="s">
        <v>1164</v>
      </c>
      <c r="AC51" s="88">
        <f>$AF$43*$AF$44*AC47*AC49/(AC50-$AF$43*AC47*AC49)</f>
        <v>2.2379662473641249E-3</v>
      </c>
      <c r="AD51" s="80" t="s">
        <v>1165</v>
      </c>
      <c r="AE51" s="88">
        <f>AG48/(1000*(AE50-AC51))</f>
        <v>0.2662787313378871</v>
      </c>
      <c r="AF51" s="80"/>
      <c r="AG51" s="88"/>
    </row>
    <row r="52" spans="3:33" x14ac:dyDescent="0.2">
      <c r="C52" s="65"/>
      <c r="D52" s="66"/>
      <c r="E52" s="66"/>
      <c r="F52" s="66"/>
      <c r="G52" s="66"/>
      <c r="H52" s="66"/>
    </row>
    <row r="53" spans="3:33" x14ac:dyDescent="0.2">
      <c r="C53" s="66"/>
      <c r="D53" s="66"/>
      <c r="E53" s="66"/>
      <c r="F53" s="66"/>
      <c r="G53" s="87"/>
      <c r="H53" s="66"/>
    </row>
    <row r="54" spans="3:33" x14ac:dyDescent="0.2">
      <c r="C54" s="66"/>
      <c r="D54" s="66"/>
      <c r="E54" s="66"/>
      <c r="F54" s="66"/>
      <c r="G54" s="89"/>
      <c r="H54" s="66"/>
    </row>
    <row r="55" spans="3:33" x14ac:dyDescent="0.2">
      <c r="C55" s="66"/>
      <c r="D55" s="66"/>
      <c r="E55" s="66"/>
      <c r="F55" s="66"/>
      <c r="G55" s="89"/>
      <c r="H55" s="66"/>
      <c r="AA55" s="90"/>
      <c r="AB55" s="90"/>
      <c r="AC55" s="90"/>
    </row>
    <row r="56" spans="3:33" x14ac:dyDescent="0.2">
      <c r="C56" s="66"/>
      <c r="D56" s="66"/>
      <c r="E56" s="66"/>
      <c r="F56" s="66"/>
      <c r="G56" s="91"/>
      <c r="H56" s="66"/>
      <c r="AA56" s="90"/>
      <c r="AB56" s="92"/>
      <c r="AC56" s="90"/>
    </row>
    <row r="57" spans="3:33" x14ac:dyDescent="0.2">
      <c r="C57" s="66"/>
      <c r="D57" s="66"/>
      <c r="E57" s="66"/>
      <c r="F57" s="66"/>
      <c r="G57" s="62"/>
      <c r="H57" s="66"/>
      <c r="AA57" s="90"/>
      <c r="AB57" s="90"/>
      <c r="AC57" s="90"/>
    </row>
    <row r="58" spans="3:33" x14ac:dyDescent="0.2">
      <c r="C58" s="66"/>
      <c r="D58" s="66"/>
      <c r="E58" s="66"/>
      <c r="F58" s="66"/>
      <c r="G58" s="66"/>
      <c r="H58" s="66"/>
      <c r="AA58" s="90"/>
      <c r="AB58" s="90"/>
      <c r="AC58" s="90"/>
    </row>
    <row r="59" spans="3:33" x14ac:dyDescent="0.2">
      <c r="C59" s="66"/>
      <c r="D59" s="66"/>
      <c r="E59" s="66"/>
      <c r="F59" s="66"/>
      <c r="G59" s="89"/>
      <c r="H59" s="66"/>
    </row>
    <row r="60" spans="3:33" x14ac:dyDescent="0.2">
      <c r="C60" s="65"/>
      <c r="D60" s="66"/>
      <c r="E60" s="66"/>
      <c r="F60" s="66"/>
      <c r="G60" s="66"/>
      <c r="H60" s="66"/>
    </row>
    <row r="61" spans="3:33" x14ac:dyDescent="0.2">
      <c r="D61" s="62"/>
      <c r="E61" s="62"/>
      <c r="F61" s="62"/>
      <c r="G61" s="62"/>
      <c r="H61" s="62"/>
    </row>
    <row r="62" spans="3:33" x14ac:dyDescent="0.2">
      <c r="C62" s="66"/>
      <c r="D62" s="66"/>
      <c r="E62" s="66"/>
      <c r="F62" s="66"/>
      <c r="G62" s="91"/>
      <c r="H62" s="66"/>
    </row>
    <row r="63" spans="3:33" x14ac:dyDescent="0.2">
      <c r="C63" s="66"/>
      <c r="D63" s="66"/>
      <c r="E63" s="66"/>
      <c r="F63" s="66"/>
      <c r="G63" s="87"/>
      <c r="H63" s="66"/>
    </row>
    <row r="64" spans="3:33" x14ac:dyDescent="0.2">
      <c r="C64" s="66"/>
      <c r="D64" s="66"/>
      <c r="E64" s="66"/>
      <c r="F64" s="66"/>
      <c r="G64" s="89"/>
      <c r="H64" s="66"/>
    </row>
    <row r="66" spans="3:8" x14ac:dyDescent="0.2">
      <c r="C66" s="66"/>
      <c r="D66" s="66"/>
      <c r="E66" s="66"/>
      <c r="F66" s="66"/>
      <c r="G66" s="89"/>
      <c r="H66" s="66"/>
    </row>
  </sheetData>
  <sheetProtection password="CBAF" sheet="1" selectLockedCells="1"/>
  <mergeCells count="4">
    <mergeCell ref="B6:D6"/>
    <mergeCell ref="G6:I6"/>
    <mergeCell ref="L6:N6"/>
    <mergeCell ref="G15:I15"/>
  </mergeCells>
  <dataValidations count="2">
    <dataValidation type="whole" allowBlank="1" showInputMessage="1" showErrorMessage="1" sqref="C12">
      <formula1>1</formula1>
      <formula2>8</formula2>
    </dataValidation>
    <dataValidation type="list" allowBlank="1" showInputMessage="1" showErrorMessage="1" sqref="C9">
      <formula1>$AC$15:$AC$35</formula1>
    </dataValidation>
  </dataValidations>
  <pageMargins left="0.75" right="0.75" top="1" bottom="1" header="0.5" footer="0.5"/>
  <pageSetup paperSize="9" scale="72"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activeCell="D23" sqref="D23"/>
    </sheetView>
  </sheetViews>
  <sheetFormatPr defaultRowHeight="12.75" x14ac:dyDescent="0.2"/>
  <sheetData>
    <row r="1" spans="1:2" x14ac:dyDescent="0.2">
      <c r="A1" t="s">
        <v>3518</v>
      </c>
    </row>
    <row r="2" spans="1:2" x14ac:dyDescent="0.2">
      <c r="A2" t="s">
        <v>3519</v>
      </c>
      <c r="B2">
        <v>0.73</v>
      </c>
    </row>
    <row r="3" spans="1:2" x14ac:dyDescent="0.2">
      <c r="A3" t="s">
        <v>3520</v>
      </c>
      <c r="B3">
        <v>6.95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1"/>
  <dimension ref="A1:V287"/>
  <sheetViews>
    <sheetView zoomScale="85" zoomScaleNormal="85" workbookViewId="0">
      <selection activeCell="A13" sqref="A13"/>
    </sheetView>
  </sheetViews>
  <sheetFormatPr defaultRowHeight="12.75" x14ac:dyDescent="0.2"/>
  <cols>
    <col min="1" max="1" width="12.85546875" bestFit="1" customWidth="1"/>
    <col min="2" max="2" width="9" customWidth="1"/>
    <col min="3" max="3" width="8.85546875" style="321" customWidth="1"/>
    <col min="6" max="6" width="11" customWidth="1"/>
    <col min="11" max="11" width="2.85546875" bestFit="1" customWidth="1"/>
    <col min="12" max="15" width="4.5703125" bestFit="1" customWidth="1"/>
    <col min="16" max="16" width="5.5703125" bestFit="1" customWidth="1"/>
    <col min="17" max="17" width="6.7109375" bestFit="1" customWidth="1"/>
    <col min="18" max="22" width="5.5703125" bestFit="1" customWidth="1"/>
  </cols>
  <sheetData>
    <row r="1" spans="1:22" x14ac:dyDescent="0.2">
      <c r="A1" s="794" t="s">
        <v>2900</v>
      </c>
      <c r="B1" s="794"/>
      <c r="C1" s="794"/>
      <c r="F1" s="294" t="s">
        <v>610</v>
      </c>
    </row>
    <row r="2" spans="1:22" ht="13.5" thickBot="1" x14ac:dyDescent="0.25">
      <c r="A2" s="199" t="s">
        <v>3177</v>
      </c>
      <c r="B2" t="str">
        <f>MID(A2,7,1)</f>
        <v>D</v>
      </c>
      <c r="C2" s="320">
        <f>IF(B2=$K$5,$L$5,$L$4)</f>
        <v>2</v>
      </c>
      <c r="E2">
        <f>VLOOKUP(SELECTION!B7,Potenze!A:C,3,0)</f>
        <v>60</v>
      </c>
      <c r="F2" t="str">
        <f>IF(E1&lt;&gt;F1,CONCATENATE(" -",E2," kW -"), "")</f>
        <v xml:space="preserve"> -60 kW -</v>
      </c>
    </row>
    <row r="3" spans="1:22" ht="13.5" thickBot="1" x14ac:dyDescent="0.25">
      <c r="A3" s="199" t="s">
        <v>3179</v>
      </c>
      <c r="B3" t="str">
        <f t="shared" ref="B3:B51" si="0">MID(A3,7,1)</f>
        <v>D</v>
      </c>
      <c r="C3" s="320">
        <v>3.3</v>
      </c>
      <c r="K3" s="585"/>
      <c r="L3" s="586">
        <v>2</v>
      </c>
      <c r="M3" s="587">
        <v>4</v>
      </c>
      <c r="N3" s="587">
        <v>6</v>
      </c>
      <c r="O3" s="587">
        <v>10</v>
      </c>
      <c r="P3" s="587">
        <v>13</v>
      </c>
      <c r="Q3" s="587">
        <v>20</v>
      </c>
      <c r="R3" s="587">
        <v>27</v>
      </c>
      <c r="S3" s="587">
        <v>40</v>
      </c>
      <c r="T3" s="587">
        <v>53</v>
      </c>
      <c r="U3" s="587">
        <v>60</v>
      </c>
      <c r="V3" s="589">
        <v>80</v>
      </c>
    </row>
    <row r="4" spans="1:22" x14ac:dyDescent="0.2">
      <c r="A4" s="199" t="s">
        <v>3181</v>
      </c>
      <c r="B4" t="str">
        <f t="shared" si="0"/>
        <v>D</v>
      </c>
      <c r="C4" s="320">
        <v>4.7</v>
      </c>
      <c r="K4" s="658" t="s">
        <v>601</v>
      </c>
      <c r="L4" s="659">
        <v>2</v>
      </c>
      <c r="M4" s="660">
        <v>3.6</v>
      </c>
      <c r="N4" s="660">
        <v>4.8</v>
      </c>
      <c r="O4" s="590"/>
      <c r="P4" s="590"/>
      <c r="Q4" s="590"/>
      <c r="R4" s="590"/>
      <c r="S4" s="590"/>
      <c r="T4" s="590"/>
      <c r="U4" s="590"/>
      <c r="V4" s="591"/>
    </row>
    <row r="5" spans="1:22" x14ac:dyDescent="0.2">
      <c r="A5" s="199" t="s">
        <v>3183</v>
      </c>
      <c r="B5" t="str">
        <f t="shared" si="0"/>
        <v>K</v>
      </c>
      <c r="C5" s="320">
        <v>4.7</v>
      </c>
      <c r="K5" s="588" t="s">
        <v>2334</v>
      </c>
      <c r="L5" s="592">
        <v>2</v>
      </c>
      <c r="M5" s="593">
        <v>3.3</v>
      </c>
      <c r="N5" s="593">
        <v>4.7</v>
      </c>
      <c r="O5" s="593"/>
      <c r="P5" s="593"/>
      <c r="Q5" s="593"/>
      <c r="R5" s="593"/>
      <c r="S5" s="593"/>
      <c r="T5" s="593"/>
      <c r="U5" s="593"/>
      <c r="V5" s="594"/>
    </row>
    <row r="6" spans="1:22" x14ac:dyDescent="0.2">
      <c r="A6" s="199" t="s">
        <v>3189</v>
      </c>
      <c r="B6" t="str">
        <f t="shared" si="0"/>
        <v>K</v>
      </c>
      <c r="C6" s="320">
        <v>7.4</v>
      </c>
      <c r="K6" s="661" t="s">
        <v>602</v>
      </c>
      <c r="L6" s="662"/>
      <c r="M6" s="663"/>
      <c r="N6" s="663">
        <v>4.8</v>
      </c>
      <c r="O6" s="663">
        <v>8.1</v>
      </c>
      <c r="P6" s="663"/>
      <c r="Q6" s="663">
        <v>16.2</v>
      </c>
      <c r="R6" s="593"/>
      <c r="S6" s="593"/>
      <c r="T6" s="593"/>
      <c r="U6" s="593"/>
      <c r="V6" s="594"/>
    </row>
    <row r="7" spans="1:22" x14ac:dyDescent="0.2">
      <c r="A7" s="199" t="s">
        <v>3195</v>
      </c>
      <c r="B7" t="str">
        <f t="shared" si="0"/>
        <v>K</v>
      </c>
      <c r="C7" s="320">
        <v>9.9</v>
      </c>
      <c r="K7" s="588" t="s">
        <v>603</v>
      </c>
      <c r="L7" s="592"/>
      <c r="M7" s="593"/>
      <c r="N7" s="593">
        <v>4.7</v>
      </c>
      <c r="O7" s="593">
        <v>7.4</v>
      </c>
      <c r="P7" s="593">
        <v>9.9</v>
      </c>
      <c r="Q7" s="593">
        <v>15.1</v>
      </c>
      <c r="R7" s="593">
        <v>19.8</v>
      </c>
      <c r="S7" s="593"/>
      <c r="T7" s="593"/>
      <c r="U7" s="593"/>
      <c r="V7" s="594"/>
    </row>
    <row r="8" spans="1:22" x14ac:dyDescent="0.2">
      <c r="A8" s="199" t="s">
        <v>3201</v>
      </c>
      <c r="B8" t="str">
        <f t="shared" si="0"/>
        <v>K</v>
      </c>
      <c r="C8" s="320">
        <v>15.1</v>
      </c>
      <c r="K8" s="588" t="s">
        <v>604</v>
      </c>
      <c r="L8" s="592"/>
      <c r="M8" s="593"/>
      <c r="N8" s="593">
        <v>4.7</v>
      </c>
      <c r="O8" s="593">
        <v>7.4</v>
      </c>
      <c r="P8" s="593">
        <v>10</v>
      </c>
      <c r="Q8" s="593">
        <v>15.2</v>
      </c>
      <c r="R8" s="593">
        <v>20</v>
      </c>
      <c r="S8" s="593">
        <v>30.5</v>
      </c>
      <c r="T8" s="593">
        <v>40</v>
      </c>
      <c r="U8" s="593">
        <v>45.7</v>
      </c>
      <c r="V8" s="594">
        <v>60</v>
      </c>
    </row>
    <row r="9" spans="1:22" x14ac:dyDescent="0.2">
      <c r="A9" s="199" t="s">
        <v>3207</v>
      </c>
      <c r="B9" t="str">
        <f t="shared" si="0"/>
        <v>K</v>
      </c>
      <c r="C9" s="320">
        <v>19.8</v>
      </c>
      <c r="K9" s="588" t="s">
        <v>605</v>
      </c>
      <c r="L9" s="592"/>
      <c r="M9" s="593"/>
      <c r="N9" s="593"/>
      <c r="O9" s="593">
        <v>7.8</v>
      </c>
      <c r="P9" s="593">
        <v>9.8000000000000007</v>
      </c>
      <c r="Q9" s="593">
        <v>15.1</v>
      </c>
      <c r="R9" s="593">
        <v>20.2</v>
      </c>
      <c r="S9" s="593">
        <v>30.1</v>
      </c>
      <c r="T9" s="593">
        <v>40.299999999999997</v>
      </c>
      <c r="U9" s="593">
        <v>45.2</v>
      </c>
      <c r="V9" s="594">
        <v>60.5</v>
      </c>
    </row>
    <row r="10" spans="1:22" ht="13.5" thickBot="1" x14ac:dyDescent="0.25">
      <c r="A10" s="199" t="s">
        <v>3185</v>
      </c>
      <c r="B10" t="str">
        <f t="shared" si="0"/>
        <v>L</v>
      </c>
      <c r="C10" s="664">
        <v>4.7</v>
      </c>
      <c r="K10" s="654" t="s">
        <v>606</v>
      </c>
      <c r="L10" s="655"/>
      <c r="M10" s="656"/>
      <c r="N10" s="656"/>
      <c r="O10" s="656"/>
      <c r="P10" s="656">
        <v>9.6999999999999993</v>
      </c>
      <c r="Q10" s="656">
        <v>15</v>
      </c>
      <c r="R10" s="656">
        <v>19.8</v>
      </c>
      <c r="S10" s="656">
        <v>30</v>
      </c>
      <c r="T10" s="656">
        <v>39.6</v>
      </c>
      <c r="U10" s="656">
        <v>45.1</v>
      </c>
      <c r="V10" s="657">
        <v>59.4</v>
      </c>
    </row>
    <row r="11" spans="1:22" x14ac:dyDescent="0.2">
      <c r="A11" s="199" t="s">
        <v>3191</v>
      </c>
      <c r="B11" t="str">
        <f t="shared" si="0"/>
        <v>L</v>
      </c>
      <c r="C11" s="664">
        <v>7.4</v>
      </c>
    </row>
    <row r="12" spans="1:22" x14ac:dyDescent="0.2">
      <c r="A12" s="199" t="s">
        <v>3197</v>
      </c>
      <c r="B12" t="str">
        <f t="shared" si="0"/>
        <v>L</v>
      </c>
      <c r="C12" s="664">
        <v>10</v>
      </c>
    </row>
    <row r="13" spans="1:22" x14ac:dyDescent="0.2">
      <c r="A13" s="199" t="s">
        <v>3203</v>
      </c>
      <c r="B13" t="str">
        <f t="shared" si="0"/>
        <v>L</v>
      </c>
      <c r="C13" s="664">
        <v>15.2</v>
      </c>
    </row>
    <row r="14" spans="1:22" x14ac:dyDescent="0.2">
      <c r="A14" s="199" t="s">
        <v>3209</v>
      </c>
      <c r="B14" t="str">
        <f t="shared" si="0"/>
        <v>L</v>
      </c>
      <c r="C14" s="664">
        <v>20</v>
      </c>
    </row>
    <row r="15" spans="1:22" x14ac:dyDescent="0.2">
      <c r="A15" s="199" t="s">
        <v>3213</v>
      </c>
      <c r="B15" t="str">
        <f t="shared" si="0"/>
        <v>L</v>
      </c>
      <c r="C15" s="664">
        <v>30.5</v>
      </c>
    </row>
    <row r="16" spans="1:22" x14ac:dyDescent="0.2">
      <c r="A16" s="199" t="s">
        <v>3217</v>
      </c>
      <c r="B16" t="str">
        <f t="shared" si="0"/>
        <v>L</v>
      </c>
      <c r="C16" s="664">
        <v>40</v>
      </c>
    </row>
    <row r="17" spans="1:3" x14ac:dyDescent="0.2">
      <c r="A17" s="199" t="s">
        <v>3221</v>
      </c>
      <c r="B17" t="str">
        <f t="shared" si="0"/>
        <v>L</v>
      </c>
      <c r="C17" s="664">
        <v>45.7</v>
      </c>
    </row>
    <row r="18" spans="1:3" x14ac:dyDescent="0.2">
      <c r="A18" s="199" t="s">
        <v>3225</v>
      </c>
      <c r="B18" t="str">
        <f t="shared" si="0"/>
        <v>L</v>
      </c>
      <c r="C18" s="664">
        <v>60</v>
      </c>
    </row>
    <row r="19" spans="1:3" x14ac:dyDescent="0.2">
      <c r="A19" s="199" t="s">
        <v>3193</v>
      </c>
      <c r="B19" t="str">
        <f t="shared" si="0"/>
        <v>M</v>
      </c>
      <c r="C19" s="664">
        <v>7.8</v>
      </c>
    </row>
    <row r="20" spans="1:3" x14ac:dyDescent="0.2">
      <c r="A20" s="199" t="s">
        <v>3199</v>
      </c>
      <c r="B20" t="str">
        <f t="shared" si="0"/>
        <v>M</v>
      </c>
      <c r="C20" s="664">
        <v>9.8000000000000007</v>
      </c>
    </row>
    <row r="21" spans="1:3" x14ac:dyDescent="0.2">
      <c r="A21" s="199" t="s">
        <v>3205</v>
      </c>
      <c r="B21" t="str">
        <f t="shared" si="0"/>
        <v>M</v>
      </c>
      <c r="C21" s="664">
        <v>15.1</v>
      </c>
    </row>
    <row r="22" spans="1:3" x14ac:dyDescent="0.2">
      <c r="A22" s="199" t="s">
        <v>3211</v>
      </c>
      <c r="B22" t="str">
        <f t="shared" si="0"/>
        <v>M</v>
      </c>
      <c r="C22" s="664">
        <v>20.2</v>
      </c>
    </row>
    <row r="23" spans="1:3" x14ac:dyDescent="0.2">
      <c r="A23" s="199" t="s">
        <v>3215</v>
      </c>
      <c r="B23" t="str">
        <f t="shared" si="0"/>
        <v>M</v>
      </c>
      <c r="C23" s="664">
        <v>30.1</v>
      </c>
    </row>
    <row r="24" spans="1:3" x14ac:dyDescent="0.2">
      <c r="A24" s="199" t="s">
        <v>3219</v>
      </c>
      <c r="B24" t="str">
        <f t="shared" si="0"/>
        <v>M</v>
      </c>
      <c r="C24" s="664">
        <v>40.299999999999997</v>
      </c>
    </row>
    <row r="25" spans="1:3" x14ac:dyDescent="0.2">
      <c r="A25" s="199" t="s">
        <v>3223</v>
      </c>
      <c r="B25" t="str">
        <f t="shared" si="0"/>
        <v>M</v>
      </c>
      <c r="C25" s="664">
        <v>45.2</v>
      </c>
    </row>
    <row r="26" spans="1:3" x14ac:dyDescent="0.2">
      <c r="A26" s="199" t="s">
        <v>3227</v>
      </c>
      <c r="B26" t="str">
        <f t="shared" si="0"/>
        <v>M</v>
      </c>
      <c r="C26" s="664">
        <v>60.5</v>
      </c>
    </row>
    <row r="27" spans="1:3" x14ac:dyDescent="0.2">
      <c r="A27" s="199" t="s">
        <v>3178</v>
      </c>
      <c r="B27" t="str">
        <f t="shared" si="0"/>
        <v>D</v>
      </c>
      <c r="C27" s="665">
        <v>2</v>
      </c>
    </row>
    <row r="28" spans="1:3" x14ac:dyDescent="0.2">
      <c r="A28" s="199" t="s">
        <v>3180</v>
      </c>
      <c r="B28" t="str">
        <f t="shared" si="0"/>
        <v>D</v>
      </c>
      <c r="C28" s="320">
        <v>3.3</v>
      </c>
    </row>
    <row r="29" spans="1:3" x14ac:dyDescent="0.2">
      <c r="A29" s="199" t="s">
        <v>3182</v>
      </c>
      <c r="B29" t="str">
        <f t="shared" si="0"/>
        <v>D</v>
      </c>
      <c r="C29" s="320">
        <v>4.7</v>
      </c>
    </row>
    <row r="30" spans="1:3" x14ac:dyDescent="0.2">
      <c r="A30" s="199" t="s">
        <v>3184</v>
      </c>
      <c r="B30" t="str">
        <f t="shared" si="0"/>
        <v>K</v>
      </c>
      <c r="C30" s="320">
        <v>4.7</v>
      </c>
    </row>
    <row r="31" spans="1:3" x14ac:dyDescent="0.2">
      <c r="A31" s="199" t="s">
        <v>3190</v>
      </c>
      <c r="B31" t="str">
        <f t="shared" si="0"/>
        <v>K</v>
      </c>
      <c r="C31" s="320">
        <v>7.4</v>
      </c>
    </row>
    <row r="32" spans="1:3" x14ac:dyDescent="0.2">
      <c r="A32" s="199" t="s">
        <v>3196</v>
      </c>
      <c r="B32" t="str">
        <f t="shared" si="0"/>
        <v>K</v>
      </c>
      <c r="C32" s="320">
        <v>9.9</v>
      </c>
    </row>
    <row r="33" spans="1:3" x14ac:dyDescent="0.2">
      <c r="A33" s="199" t="s">
        <v>3202</v>
      </c>
      <c r="B33" t="str">
        <f t="shared" si="0"/>
        <v>K</v>
      </c>
      <c r="C33" s="320">
        <v>15.1</v>
      </c>
    </row>
    <row r="34" spans="1:3" x14ac:dyDescent="0.2">
      <c r="A34" s="199" t="s">
        <v>3208</v>
      </c>
      <c r="B34" t="str">
        <f t="shared" si="0"/>
        <v>K</v>
      </c>
      <c r="C34" s="320">
        <v>19.8</v>
      </c>
    </row>
    <row r="35" spans="1:3" x14ac:dyDescent="0.2">
      <c r="A35" s="199" t="s">
        <v>3186</v>
      </c>
      <c r="B35" t="str">
        <f t="shared" si="0"/>
        <v>L</v>
      </c>
      <c r="C35" s="320">
        <v>4.7</v>
      </c>
    </row>
    <row r="36" spans="1:3" x14ac:dyDescent="0.2">
      <c r="A36" s="199" t="s">
        <v>3192</v>
      </c>
      <c r="B36" t="str">
        <f t="shared" si="0"/>
        <v>L</v>
      </c>
      <c r="C36" s="320">
        <v>7.4</v>
      </c>
    </row>
    <row r="37" spans="1:3" x14ac:dyDescent="0.2">
      <c r="A37" s="199" t="s">
        <v>3198</v>
      </c>
      <c r="B37" t="str">
        <f t="shared" si="0"/>
        <v>L</v>
      </c>
      <c r="C37" s="320">
        <v>10</v>
      </c>
    </row>
    <row r="38" spans="1:3" x14ac:dyDescent="0.2">
      <c r="A38" s="199" t="s">
        <v>3204</v>
      </c>
      <c r="B38" t="str">
        <f t="shared" si="0"/>
        <v>L</v>
      </c>
      <c r="C38" s="320">
        <v>15.2</v>
      </c>
    </row>
    <row r="39" spans="1:3" x14ac:dyDescent="0.2">
      <c r="A39" s="199" t="s">
        <v>3210</v>
      </c>
      <c r="B39" t="str">
        <f t="shared" si="0"/>
        <v>L</v>
      </c>
      <c r="C39" s="320">
        <v>20</v>
      </c>
    </row>
    <row r="40" spans="1:3" x14ac:dyDescent="0.2">
      <c r="A40" s="199" t="s">
        <v>3214</v>
      </c>
      <c r="B40" t="str">
        <f t="shared" si="0"/>
        <v>L</v>
      </c>
      <c r="C40" s="320">
        <v>30.5</v>
      </c>
    </row>
    <row r="41" spans="1:3" x14ac:dyDescent="0.2">
      <c r="A41" s="199" t="s">
        <v>3218</v>
      </c>
      <c r="B41" t="str">
        <f t="shared" si="0"/>
        <v>L</v>
      </c>
      <c r="C41" s="320">
        <v>40</v>
      </c>
    </row>
    <row r="42" spans="1:3" x14ac:dyDescent="0.2">
      <c r="A42" s="199" t="s">
        <v>3222</v>
      </c>
      <c r="B42" t="str">
        <f t="shared" si="0"/>
        <v>L</v>
      </c>
      <c r="C42" s="320">
        <v>45.7</v>
      </c>
    </row>
    <row r="43" spans="1:3" x14ac:dyDescent="0.2">
      <c r="A43" s="199" t="s">
        <v>3226</v>
      </c>
      <c r="B43" t="str">
        <f t="shared" si="0"/>
        <v>L</v>
      </c>
      <c r="C43" s="320">
        <v>60</v>
      </c>
    </row>
    <row r="44" spans="1:3" x14ac:dyDescent="0.2">
      <c r="A44" s="199" t="s">
        <v>3194</v>
      </c>
      <c r="B44" t="str">
        <f t="shared" si="0"/>
        <v>M</v>
      </c>
      <c r="C44" s="320">
        <v>7.8</v>
      </c>
    </row>
    <row r="45" spans="1:3" x14ac:dyDescent="0.2">
      <c r="A45" s="199" t="s">
        <v>3200</v>
      </c>
      <c r="B45" t="str">
        <f t="shared" si="0"/>
        <v>M</v>
      </c>
      <c r="C45" s="320">
        <v>9.8000000000000007</v>
      </c>
    </row>
    <row r="46" spans="1:3" x14ac:dyDescent="0.2">
      <c r="A46" s="199" t="s">
        <v>3206</v>
      </c>
      <c r="B46" t="str">
        <f t="shared" si="0"/>
        <v>M</v>
      </c>
      <c r="C46" s="320">
        <v>15.1</v>
      </c>
    </row>
    <row r="47" spans="1:3" x14ac:dyDescent="0.2">
      <c r="A47" s="199" t="s">
        <v>3212</v>
      </c>
      <c r="B47" t="str">
        <f t="shared" si="0"/>
        <v>M</v>
      </c>
      <c r="C47" s="320">
        <v>20.2</v>
      </c>
    </row>
    <row r="48" spans="1:3" x14ac:dyDescent="0.2">
      <c r="A48" s="199" t="s">
        <v>3216</v>
      </c>
      <c r="B48" t="str">
        <f t="shared" si="0"/>
        <v>M</v>
      </c>
      <c r="C48" s="320">
        <v>30.1</v>
      </c>
    </row>
    <row r="49" spans="1:10" x14ac:dyDescent="0.2">
      <c r="A49" s="199" t="s">
        <v>3220</v>
      </c>
      <c r="B49" t="str">
        <f t="shared" si="0"/>
        <v>M</v>
      </c>
      <c r="C49" s="320">
        <v>40.299999999999997</v>
      </c>
    </row>
    <row r="50" spans="1:10" x14ac:dyDescent="0.2">
      <c r="A50" s="199" t="s">
        <v>3224</v>
      </c>
      <c r="B50" t="str">
        <f t="shared" si="0"/>
        <v>M</v>
      </c>
      <c r="C50" s="320">
        <v>45.2</v>
      </c>
    </row>
    <row r="51" spans="1:10" x14ac:dyDescent="0.2">
      <c r="A51" s="199" t="s">
        <v>3228</v>
      </c>
      <c r="B51" t="str">
        <f t="shared" si="0"/>
        <v>M</v>
      </c>
      <c r="C51" s="320">
        <v>60.5</v>
      </c>
    </row>
    <row r="52" spans="1:10" x14ac:dyDescent="0.2">
      <c r="C52" s="320"/>
    </row>
    <row r="53" spans="1:10" x14ac:dyDescent="0.2">
      <c r="A53" s="199" t="s">
        <v>320</v>
      </c>
      <c r="B53" t="str">
        <f t="shared" ref="B53:B84" si="1">MID(A53,1,5)</f>
        <v>UE001</v>
      </c>
      <c r="C53" s="321">
        <f>VLOOKUP(B53,$I$53:$J$66,2,0)</f>
        <v>1.1000000000000001</v>
      </c>
      <c r="I53" s="294" t="s">
        <v>936</v>
      </c>
      <c r="J53">
        <v>1.1000000000000001</v>
      </c>
    </row>
    <row r="54" spans="1:10" x14ac:dyDescent="0.2">
      <c r="A54" s="199" t="s">
        <v>432</v>
      </c>
      <c r="B54" t="str">
        <f t="shared" si="1"/>
        <v>UE001</v>
      </c>
      <c r="C54" s="321">
        <f t="shared" ref="C54:C117" si="2">VLOOKUP(B54,$I$53:$J$66,2,0)</f>
        <v>1.1000000000000001</v>
      </c>
      <c r="I54" s="294" t="s">
        <v>937</v>
      </c>
      <c r="J54">
        <v>2.2000000000000002</v>
      </c>
    </row>
    <row r="55" spans="1:10" x14ac:dyDescent="0.2">
      <c r="A55" s="199" t="s">
        <v>321</v>
      </c>
      <c r="B55" t="str">
        <f t="shared" si="1"/>
        <v>UE001</v>
      </c>
      <c r="C55" s="321">
        <f t="shared" si="2"/>
        <v>1.1000000000000001</v>
      </c>
      <c r="I55" t="s">
        <v>938</v>
      </c>
      <c r="J55">
        <v>3.7</v>
      </c>
    </row>
    <row r="56" spans="1:10" x14ac:dyDescent="0.2">
      <c r="A56" s="199" t="s">
        <v>433</v>
      </c>
      <c r="B56" t="str">
        <f t="shared" si="1"/>
        <v>UE001</v>
      </c>
      <c r="C56" s="321">
        <f t="shared" si="2"/>
        <v>1.1000000000000001</v>
      </c>
      <c r="I56" t="s">
        <v>939</v>
      </c>
      <c r="J56">
        <v>6</v>
      </c>
    </row>
    <row r="57" spans="1:10" x14ac:dyDescent="0.2">
      <c r="A57" s="199" t="s">
        <v>322</v>
      </c>
      <c r="B57" t="str">
        <f t="shared" si="1"/>
        <v>UE003</v>
      </c>
      <c r="C57" s="321">
        <f t="shared" si="2"/>
        <v>2.2000000000000002</v>
      </c>
      <c r="I57" s="294" t="s">
        <v>940</v>
      </c>
      <c r="J57">
        <v>6.7</v>
      </c>
    </row>
    <row r="58" spans="1:10" x14ac:dyDescent="0.2">
      <c r="A58" s="199" t="s">
        <v>434</v>
      </c>
      <c r="B58" t="str">
        <f t="shared" si="1"/>
        <v>UE003</v>
      </c>
      <c r="C58" s="321">
        <f t="shared" si="2"/>
        <v>2.2000000000000002</v>
      </c>
      <c r="I58" s="294" t="s">
        <v>941</v>
      </c>
      <c r="J58">
        <v>7.5</v>
      </c>
    </row>
    <row r="59" spans="1:10" x14ac:dyDescent="0.2">
      <c r="A59" s="199" t="s">
        <v>323</v>
      </c>
      <c r="B59" t="str">
        <f t="shared" si="1"/>
        <v>UE003</v>
      </c>
      <c r="C59" s="321">
        <f t="shared" si="2"/>
        <v>2.2000000000000002</v>
      </c>
      <c r="I59" s="294" t="s">
        <v>942</v>
      </c>
      <c r="J59">
        <v>11.2</v>
      </c>
    </row>
    <row r="60" spans="1:10" x14ac:dyDescent="0.2">
      <c r="A60" s="199" t="s">
        <v>435</v>
      </c>
      <c r="B60" t="str">
        <f t="shared" si="1"/>
        <v>UE003</v>
      </c>
      <c r="C60" s="321">
        <f t="shared" si="2"/>
        <v>2.2000000000000002</v>
      </c>
      <c r="I60" s="294" t="s">
        <v>2072</v>
      </c>
      <c r="J60">
        <v>13.5</v>
      </c>
    </row>
    <row r="61" spans="1:10" x14ac:dyDescent="0.2">
      <c r="A61" s="199" t="s">
        <v>324</v>
      </c>
      <c r="B61" t="str">
        <f t="shared" si="1"/>
        <v>UE003</v>
      </c>
      <c r="C61" s="321">
        <f t="shared" si="2"/>
        <v>2.2000000000000002</v>
      </c>
      <c r="I61" t="s">
        <v>943</v>
      </c>
      <c r="J61">
        <v>18.7</v>
      </c>
    </row>
    <row r="62" spans="1:10" x14ac:dyDescent="0.2">
      <c r="A62" s="199" t="s">
        <v>436</v>
      </c>
      <c r="B62" t="str">
        <f t="shared" si="1"/>
        <v>UE003</v>
      </c>
      <c r="C62" s="321">
        <f t="shared" si="2"/>
        <v>2.2000000000000002</v>
      </c>
      <c r="I62" s="294" t="s">
        <v>944</v>
      </c>
      <c r="J62">
        <v>26.2</v>
      </c>
    </row>
    <row r="63" spans="1:10" x14ac:dyDescent="0.2">
      <c r="A63" s="199" t="s">
        <v>325</v>
      </c>
      <c r="B63" t="str">
        <f t="shared" si="1"/>
        <v>UE003</v>
      </c>
      <c r="C63" s="321">
        <f t="shared" si="2"/>
        <v>2.2000000000000002</v>
      </c>
      <c r="I63" t="s">
        <v>945</v>
      </c>
      <c r="J63">
        <v>33.700000000000003</v>
      </c>
    </row>
    <row r="64" spans="1:10" x14ac:dyDescent="0.2">
      <c r="A64" s="199" t="s">
        <v>437</v>
      </c>
      <c r="B64" t="str">
        <f t="shared" si="1"/>
        <v>UE003</v>
      </c>
      <c r="C64" s="321">
        <f t="shared" si="2"/>
        <v>2.2000000000000002</v>
      </c>
      <c r="I64" t="s">
        <v>946</v>
      </c>
      <c r="J64">
        <v>48.7</v>
      </c>
    </row>
    <row r="65" spans="1:10" x14ac:dyDescent="0.2">
      <c r="A65" s="199"/>
      <c r="B65" t="str">
        <f t="shared" si="1"/>
        <v/>
      </c>
      <c r="C65" s="321" t="e">
        <f t="shared" si="2"/>
        <v>#N/A</v>
      </c>
      <c r="I65" t="s">
        <v>947</v>
      </c>
      <c r="J65">
        <v>67.5</v>
      </c>
    </row>
    <row r="66" spans="1:10" x14ac:dyDescent="0.2">
      <c r="A66" s="199"/>
      <c r="B66" t="str">
        <f t="shared" si="1"/>
        <v/>
      </c>
      <c r="C66" s="321" t="e">
        <f t="shared" si="2"/>
        <v>#N/A</v>
      </c>
      <c r="I66" s="294" t="s">
        <v>948</v>
      </c>
      <c r="J66">
        <v>97.5</v>
      </c>
    </row>
    <row r="67" spans="1:10" x14ac:dyDescent="0.2">
      <c r="A67" s="199" t="s">
        <v>326</v>
      </c>
      <c r="B67" t="str">
        <f t="shared" si="1"/>
        <v>UE003</v>
      </c>
      <c r="C67" s="321">
        <f t="shared" si="2"/>
        <v>2.2000000000000002</v>
      </c>
    </row>
    <row r="68" spans="1:10" x14ac:dyDescent="0.2">
      <c r="A68" s="199" t="s">
        <v>438</v>
      </c>
      <c r="B68" t="str">
        <f t="shared" si="1"/>
        <v>UE003</v>
      </c>
      <c r="C68" s="321">
        <f t="shared" si="2"/>
        <v>2.2000000000000002</v>
      </c>
    </row>
    <row r="69" spans="1:10" x14ac:dyDescent="0.2">
      <c r="A69" s="199" t="s">
        <v>327</v>
      </c>
      <c r="B69" t="str">
        <f t="shared" si="1"/>
        <v>UE003</v>
      </c>
      <c r="C69" s="321">
        <f t="shared" si="2"/>
        <v>2.2000000000000002</v>
      </c>
    </row>
    <row r="70" spans="1:10" x14ac:dyDescent="0.2">
      <c r="A70" s="199" t="s">
        <v>439</v>
      </c>
      <c r="B70" t="str">
        <f t="shared" si="1"/>
        <v>UE003</v>
      </c>
      <c r="C70" s="321">
        <f t="shared" si="2"/>
        <v>2.2000000000000002</v>
      </c>
    </row>
    <row r="71" spans="1:10" x14ac:dyDescent="0.2">
      <c r="A71" s="199" t="s">
        <v>328</v>
      </c>
      <c r="B71" t="str">
        <f t="shared" si="1"/>
        <v>UE005</v>
      </c>
      <c r="C71" s="321">
        <f t="shared" si="2"/>
        <v>3.7</v>
      </c>
    </row>
    <row r="72" spans="1:10" x14ac:dyDescent="0.2">
      <c r="A72" s="199" t="s">
        <v>440</v>
      </c>
      <c r="B72" t="str">
        <f t="shared" si="1"/>
        <v>UE005</v>
      </c>
      <c r="C72" s="321">
        <f t="shared" si="2"/>
        <v>3.7</v>
      </c>
    </row>
    <row r="73" spans="1:10" x14ac:dyDescent="0.2">
      <c r="A73" s="199" t="s">
        <v>329</v>
      </c>
      <c r="B73" t="str">
        <f t="shared" si="1"/>
        <v>UE005</v>
      </c>
      <c r="C73" s="321">
        <f t="shared" si="2"/>
        <v>3.7</v>
      </c>
    </row>
    <row r="74" spans="1:10" x14ac:dyDescent="0.2">
      <c r="A74" s="199" t="s">
        <v>441</v>
      </c>
      <c r="B74" t="str">
        <f t="shared" si="1"/>
        <v>UE005</v>
      </c>
      <c r="C74" s="321">
        <f t="shared" si="2"/>
        <v>3.7</v>
      </c>
    </row>
    <row r="75" spans="1:10" x14ac:dyDescent="0.2">
      <c r="A75" s="199" t="s">
        <v>330</v>
      </c>
      <c r="B75" t="str">
        <f t="shared" si="1"/>
        <v>UE005</v>
      </c>
      <c r="C75" s="321">
        <f t="shared" si="2"/>
        <v>3.7</v>
      </c>
    </row>
    <row r="76" spans="1:10" x14ac:dyDescent="0.2">
      <c r="A76" s="199" t="s">
        <v>442</v>
      </c>
      <c r="B76" t="str">
        <f t="shared" si="1"/>
        <v>UE005</v>
      </c>
      <c r="C76" s="321">
        <f t="shared" si="2"/>
        <v>3.7</v>
      </c>
    </row>
    <row r="77" spans="1:10" x14ac:dyDescent="0.2">
      <c r="A77" s="199" t="s">
        <v>331</v>
      </c>
      <c r="B77" t="str">
        <f t="shared" si="1"/>
        <v>UE005</v>
      </c>
      <c r="C77" s="321">
        <f t="shared" si="2"/>
        <v>3.7</v>
      </c>
    </row>
    <row r="78" spans="1:10" x14ac:dyDescent="0.2">
      <c r="A78" s="199" t="s">
        <v>443</v>
      </c>
      <c r="B78" t="str">
        <f t="shared" si="1"/>
        <v>UE005</v>
      </c>
      <c r="C78" s="321">
        <f t="shared" si="2"/>
        <v>3.7</v>
      </c>
    </row>
    <row r="79" spans="1:10" x14ac:dyDescent="0.2">
      <c r="A79" s="199" t="s">
        <v>332</v>
      </c>
      <c r="B79" t="str">
        <f t="shared" si="1"/>
        <v>UE005</v>
      </c>
      <c r="C79" s="321">
        <f t="shared" si="2"/>
        <v>3.7</v>
      </c>
    </row>
    <row r="80" spans="1:10" x14ac:dyDescent="0.2">
      <c r="A80" s="199" t="s">
        <v>444</v>
      </c>
      <c r="B80" t="str">
        <f t="shared" si="1"/>
        <v>UE005</v>
      </c>
      <c r="C80" s="321">
        <f t="shared" si="2"/>
        <v>3.7</v>
      </c>
    </row>
    <row r="81" spans="1:3" x14ac:dyDescent="0.2">
      <c r="A81" s="199" t="s">
        <v>333</v>
      </c>
      <c r="B81" t="str">
        <f t="shared" si="1"/>
        <v>UE005</v>
      </c>
      <c r="C81" s="321">
        <f t="shared" si="2"/>
        <v>3.7</v>
      </c>
    </row>
    <row r="82" spans="1:3" x14ac:dyDescent="0.2">
      <c r="A82" s="199" t="s">
        <v>445</v>
      </c>
      <c r="B82" t="str">
        <f t="shared" si="1"/>
        <v>UE005</v>
      </c>
      <c r="C82" s="321">
        <f t="shared" si="2"/>
        <v>3.7</v>
      </c>
    </row>
    <row r="83" spans="1:3" x14ac:dyDescent="0.2">
      <c r="A83" s="199" t="s">
        <v>334</v>
      </c>
      <c r="B83" t="str">
        <f t="shared" si="1"/>
        <v>UE005</v>
      </c>
      <c r="C83" s="321">
        <f t="shared" si="2"/>
        <v>3.7</v>
      </c>
    </row>
    <row r="84" spans="1:3" x14ac:dyDescent="0.2">
      <c r="A84" s="199" t="s">
        <v>446</v>
      </c>
      <c r="B84" t="str">
        <f t="shared" si="1"/>
        <v>UE005</v>
      </c>
      <c r="C84" s="321">
        <f t="shared" si="2"/>
        <v>3.7</v>
      </c>
    </row>
    <row r="85" spans="1:3" x14ac:dyDescent="0.2">
      <c r="A85" s="199" t="s">
        <v>335</v>
      </c>
      <c r="B85" t="str">
        <f t="shared" ref="B85:B116" si="3">MID(A85,1,5)</f>
        <v>UE008</v>
      </c>
      <c r="C85" s="321">
        <f t="shared" si="2"/>
        <v>6</v>
      </c>
    </row>
    <row r="86" spans="1:3" x14ac:dyDescent="0.2">
      <c r="A86" s="199" t="s">
        <v>447</v>
      </c>
      <c r="B86" t="str">
        <f t="shared" si="3"/>
        <v>UE008</v>
      </c>
      <c r="C86" s="321">
        <f t="shared" si="2"/>
        <v>6</v>
      </c>
    </row>
    <row r="87" spans="1:3" x14ac:dyDescent="0.2">
      <c r="A87" s="199" t="s">
        <v>336</v>
      </c>
      <c r="B87" t="str">
        <f t="shared" si="3"/>
        <v>UE008</v>
      </c>
      <c r="C87" s="321">
        <f t="shared" si="2"/>
        <v>6</v>
      </c>
    </row>
    <row r="88" spans="1:3" x14ac:dyDescent="0.2">
      <c r="A88" s="199" t="s">
        <v>448</v>
      </c>
      <c r="B88" t="str">
        <f t="shared" si="3"/>
        <v>UE008</v>
      </c>
      <c r="C88" s="321">
        <f t="shared" si="2"/>
        <v>6</v>
      </c>
    </row>
    <row r="89" spans="1:3" x14ac:dyDescent="0.2">
      <c r="A89" s="199" t="s">
        <v>337</v>
      </c>
      <c r="B89" t="str">
        <f t="shared" si="3"/>
        <v>UE008</v>
      </c>
      <c r="C89" s="321">
        <f t="shared" si="2"/>
        <v>6</v>
      </c>
    </row>
    <row r="90" spans="1:3" x14ac:dyDescent="0.2">
      <c r="A90" s="199" t="s">
        <v>449</v>
      </c>
      <c r="B90" t="str">
        <f t="shared" si="3"/>
        <v>UE008</v>
      </c>
      <c r="C90" s="321">
        <f t="shared" si="2"/>
        <v>6</v>
      </c>
    </row>
    <row r="91" spans="1:3" x14ac:dyDescent="0.2">
      <c r="A91" s="199" t="s">
        <v>338</v>
      </c>
      <c r="B91" t="str">
        <f t="shared" si="3"/>
        <v>UE008</v>
      </c>
      <c r="C91" s="321">
        <f t="shared" si="2"/>
        <v>6</v>
      </c>
    </row>
    <row r="92" spans="1:3" x14ac:dyDescent="0.2">
      <c r="A92" s="199" t="s">
        <v>450</v>
      </c>
      <c r="B92" t="str">
        <f t="shared" si="3"/>
        <v>UE008</v>
      </c>
      <c r="C92" s="321">
        <f t="shared" si="2"/>
        <v>6</v>
      </c>
    </row>
    <row r="93" spans="1:3" x14ac:dyDescent="0.2">
      <c r="A93" s="199" t="s">
        <v>339</v>
      </c>
      <c r="B93" t="str">
        <f t="shared" si="3"/>
        <v>UE008</v>
      </c>
      <c r="C93" s="321">
        <f t="shared" si="2"/>
        <v>6</v>
      </c>
    </row>
    <row r="94" spans="1:3" x14ac:dyDescent="0.2">
      <c r="A94" s="199" t="s">
        <v>451</v>
      </c>
      <c r="B94" t="str">
        <f t="shared" si="3"/>
        <v>UE008</v>
      </c>
      <c r="C94" s="321">
        <f>VLOOKUP(B94,$I$53:$J$66,2,0)</f>
        <v>6</v>
      </c>
    </row>
    <row r="95" spans="1:3" x14ac:dyDescent="0.2">
      <c r="A95" s="199" t="s">
        <v>340</v>
      </c>
      <c r="B95" t="str">
        <f t="shared" si="3"/>
        <v>UE009</v>
      </c>
      <c r="C95" s="321">
        <f t="shared" si="2"/>
        <v>6.7</v>
      </c>
    </row>
    <row r="96" spans="1:3" x14ac:dyDescent="0.2">
      <c r="A96" s="199" t="s">
        <v>452</v>
      </c>
      <c r="B96" t="str">
        <f t="shared" si="3"/>
        <v>UE009</v>
      </c>
      <c r="C96" s="321">
        <f t="shared" si="2"/>
        <v>6.7</v>
      </c>
    </row>
    <row r="97" spans="1:3" x14ac:dyDescent="0.2">
      <c r="A97" s="199" t="s">
        <v>341</v>
      </c>
      <c r="B97" t="str">
        <f t="shared" si="3"/>
        <v>UE009</v>
      </c>
      <c r="C97" s="321">
        <f t="shared" si="2"/>
        <v>6.7</v>
      </c>
    </row>
    <row r="98" spans="1:3" x14ac:dyDescent="0.2">
      <c r="A98" s="199" t="s">
        <v>453</v>
      </c>
      <c r="B98" t="str">
        <f t="shared" si="3"/>
        <v>UE009</v>
      </c>
      <c r="C98" s="321">
        <f t="shared" si="2"/>
        <v>6.7</v>
      </c>
    </row>
    <row r="99" spans="1:3" x14ac:dyDescent="0.2">
      <c r="A99" s="199" t="s">
        <v>342</v>
      </c>
      <c r="B99" t="str">
        <f t="shared" si="3"/>
        <v>UE010</v>
      </c>
      <c r="C99" s="321">
        <f t="shared" si="2"/>
        <v>7.5</v>
      </c>
    </row>
    <row r="100" spans="1:3" x14ac:dyDescent="0.2">
      <c r="A100" s="199" t="s">
        <v>454</v>
      </c>
      <c r="B100" t="str">
        <f t="shared" si="3"/>
        <v>UE010</v>
      </c>
      <c r="C100" s="321">
        <f t="shared" si="2"/>
        <v>7.5</v>
      </c>
    </row>
    <row r="101" spans="1:3" x14ac:dyDescent="0.2">
      <c r="A101" s="199" t="s">
        <v>343</v>
      </c>
      <c r="B101" t="str">
        <f t="shared" si="3"/>
        <v>UE010</v>
      </c>
      <c r="C101" s="321">
        <f t="shared" si="2"/>
        <v>7.5</v>
      </c>
    </row>
    <row r="102" spans="1:3" x14ac:dyDescent="0.2">
      <c r="A102" s="199" t="s">
        <v>455</v>
      </c>
      <c r="B102" t="str">
        <f t="shared" si="3"/>
        <v>UE010</v>
      </c>
      <c r="C102" s="321">
        <f t="shared" si="2"/>
        <v>7.5</v>
      </c>
    </row>
    <row r="103" spans="1:3" x14ac:dyDescent="0.2">
      <c r="A103" s="199" t="s">
        <v>344</v>
      </c>
      <c r="B103" t="str">
        <f t="shared" si="3"/>
        <v>UE010</v>
      </c>
      <c r="C103" s="321">
        <f t="shared" si="2"/>
        <v>7.5</v>
      </c>
    </row>
    <row r="104" spans="1:3" x14ac:dyDescent="0.2">
      <c r="A104" s="199" t="s">
        <v>456</v>
      </c>
      <c r="B104" t="str">
        <f t="shared" si="3"/>
        <v>UE010</v>
      </c>
      <c r="C104" s="321">
        <f t="shared" si="2"/>
        <v>7.5</v>
      </c>
    </row>
    <row r="105" spans="1:3" x14ac:dyDescent="0.2">
      <c r="A105" s="199" t="s">
        <v>345</v>
      </c>
      <c r="B105" t="str">
        <f t="shared" si="3"/>
        <v>UE010</v>
      </c>
      <c r="C105" s="321">
        <f t="shared" si="2"/>
        <v>7.5</v>
      </c>
    </row>
    <row r="106" spans="1:3" x14ac:dyDescent="0.2">
      <c r="A106" s="199" t="s">
        <v>457</v>
      </c>
      <c r="B106" t="str">
        <f t="shared" si="3"/>
        <v>UE010</v>
      </c>
      <c r="C106" s="321">
        <f t="shared" si="2"/>
        <v>7.5</v>
      </c>
    </row>
    <row r="107" spans="1:3" x14ac:dyDescent="0.2">
      <c r="A107" s="199" t="s">
        <v>346</v>
      </c>
      <c r="B107" t="str">
        <f t="shared" si="3"/>
        <v>UE010</v>
      </c>
      <c r="C107" s="321">
        <f t="shared" si="2"/>
        <v>7.5</v>
      </c>
    </row>
    <row r="108" spans="1:3" x14ac:dyDescent="0.2">
      <c r="A108" s="199" t="s">
        <v>458</v>
      </c>
      <c r="B108" t="str">
        <f t="shared" si="3"/>
        <v>UE010</v>
      </c>
      <c r="C108" s="321">
        <f>VLOOKUP(B108,$I$53:$J$66,2,0)</f>
        <v>7.5</v>
      </c>
    </row>
    <row r="109" spans="1:3" x14ac:dyDescent="0.2">
      <c r="A109" s="199" t="s">
        <v>347</v>
      </c>
      <c r="B109" t="str">
        <f t="shared" si="3"/>
        <v>UE015</v>
      </c>
      <c r="C109" s="321">
        <f t="shared" si="2"/>
        <v>11.2</v>
      </c>
    </row>
    <row r="110" spans="1:3" x14ac:dyDescent="0.2">
      <c r="A110" s="199" t="s">
        <v>459</v>
      </c>
      <c r="B110" t="str">
        <f t="shared" si="3"/>
        <v>UE015</v>
      </c>
      <c r="C110" s="321">
        <f t="shared" si="2"/>
        <v>11.2</v>
      </c>
    </row>
    <row r="111" spans="1:3" x14ac:dyDescent="0.2">
      <c r="A111" s="199" t="s">
        <v>348</v>
      </c>
      <c r="B111" t="str">
        <f t="shared" si="3"/>
        <v>UE015</v>
      </c>
      <c r="C111" s="321">
        <f t="shared" si="2"/>
        <v>11.2</v>
      </c>
    </row>
    <row r="112" spans="1:3" x14ac:dyDescent="0.2">
      <c r="A112" s="199" t="s">
        <v>460</v>
      </c>
      <c r="B112" t="str">
        <f t="shared" si="3"/>
        <v>UE015</v>
      </c>
      <c r="C112" s="321">
        <f t="shared" si="2"/>
        <v>11.2</v>
      </c>
    </row>
    <row r="113" spans="1:3" x14ac:dyDescent="0.2">
      <c r="A113" s="199" t="s">
        <v>349</v>
      </c>
      <c r="B113" t="str">
        <f t="shared" si="3"/>
        <v>UE015</v>
      </c>
      <c r="C113" s="321">
        <f t="shared" si="2"/>
        <v>11.2</v>
      </c>
    </row>
    <row r="114" spans="1:3" x14ac:dyDescent="0.2">
      <c r="A114" s="199" t="s">
        <v>461</v>
      </c>
      <c r="B114" t="str">
        <f t="shared" si="3"/>
        <v>UE015</v>
      </c>
      <c r="C114" s="321">
        <f t="shared" si="2"/>
        <v>11.2</v>
      </c>
    </row>
    <row r="115" spans="1:3" x14ac:dyDescent="0.2">
      <c r="A115" s="199" t="s">
        <v>350</v>
      </c>
      <c r="B115" t="str">
        <f t="shared" si="3"/>
        <v>UE015</v>
      </c>
      <c r="C115" s="321">
        <f t="shared" si="2"/>
        <v>11.2</v>
      </c>
    </row>
    <row r="116" spans="1:3" x14ac:dyDescent="0.2">
      <c r="A116" s="199" t="s">
        <v>462</v>
      </c>
      <c r="B116" t="str">
        <f t="shared" si="3"/>
        <v>UE015</v>
      </c>
      <c r="C116" s="321">
        <f t="shared" si="2"/>
        <v>11.2</v>
      </c>
    </row>
    <row r="117" spans="1:3" x14ac:dyDescent="0.2">
      <c r="A117" s="199" t="s">
        <v>351</v>
      </c>
      <c r="B117" t="str">
        <f t="shared" ref="B117:B148" si="4">MID(A117,1,5)</f>
        <v>UE015</v>
      </c>
      <c r="C117" s="321">
        <f t="shared" si="2"/>
        <v>11.2</v>
      </c>
    </row>
    <row r="118" spans="1:3" x14ac:dyDescent="0.2">
      <c r="A118" s="199" t="s">
        <v>463</v>
      </c>
      <c r="B118" t="str">
        <f t="shared" si="4"/>
        <v>UE015</v>
      </c>
      <c r="C118" s="321">
        <f t="shared" ref="C118:C134" si="5">VLOOKUP(B118,$I$53:$J$66,2,0)</f>
        <v>11.2</v>
      </c>
    </row>
    <row r="119" spans="1:3" x14ac:dyDescent="0.2">
      <c r="A119" s="199" t="s">
        <v>352</v>
      </c>
      <c r="B119" t="str">
        <f t="shared" si="4"/>
        <v>UE018</v>
      </c>
      <c r="C119" s="321">
        <f t="shared" si="5"/>
        <v>13.5</v>
      </c>
    </row>
    <row r="120" spans="1:3" x14ac:dyDescent="0.2">
      <c r="A120" s="199" t="s">
        <v>464</v>
      </c>
      <c r="B120" t="str">
        <f t="shared" si="4"/>
        <v>UE018</v>
      </c>
      <c r="C120" s="321">
        <f t="shared" si="5"/>
        <v>13.5</v>
      </c>
    </row>
    <row r="121" spans="1:3" x14ac:dyDescent="0.2">
      <c r="A121" s="199" t="s">
        <v>353</v>
      </c>
      <c r="B121" t="str">
        <f t="shared" si="4"/>
        <v>UE018</v>
      </c>
      <c r="C121" s="321">
        <f t="shared" si="5"/>
        <v>13.5</v>
      </c>
    </row>
    <row r="122" spans="1:3" x14ac:dyDescent="0.2">
      <c r="A122" s="199" t="s">
        <v>465</v>
      </c>
      <c r="B122" t="str">
        <f t="shared" si="4"/>
        <v>UE018</v>
      </c>
      <c r="C122" s="321">
        <f t="shared" si="5"/>
        <v>13.5</v>
      </c>
    </row>
    <row r="123" spans="1:3" x14ac:dyDescent="0.2">
      <c r="A123" s="199" t="s">
        <v>354</v>
      </c>
      <c r="B123" t="str">
        <f t="shared" si="4"/>
        <v>UE018</v>
      </c>
      <c r="C123" s="321">
        <f t="shared" si="5"/>
        <v>13.5</v>
      </c>
    </row>
    <row r="124" spans="1:3" x14ac:dyDescent="0.2">
      <c r="A124" s="199" t="s">
        <v>466</v>
      </c>
      <c r="B124" t="str">
        <f t="shared" si="4"/>
        <v>UE018</v>
      </c>
      <c r="C124" s="321">
        <f t="shared" si="5"/>
        <v>13.5</v>
      </c>
    </row>
    <row r="125" spans="1:3" x14ac:dyDescent="0.2">
      <c r="A125" s="199" t="s">
        <v>355</v>
      </c>
      <c r="B125" t="str">
        <f t="shared" si="4"/>
        <v>UE025</v>
      </c>
      <c r="C125" s="321">
        <f t="shared" si="5"/>
        <v>18.7</v>
      </c>
    </row>
    <row r="126" spans="1:3" x14ac:dyDescent="0.2">
      <c r="A126" s="199" t="s">
        <v>467</v>
      </c>
      <c r="B126" t="str">
        <f t="shared" si="4"/>
        <v>UE025</v>
      </c>
      <c r="C126" s="321">
        <f t="shared" si="5"/>
        <v>18.7</v>
      </c>
    </row>
    <row r="127" spans="1:3" x14ac:dyDescent="0.2">
      <c r="A127" s="199" t="s">
        <v>356</v>
      </c>
      <c r="B127" t="str">
        <f t="shared" si="4"/>
        <v>UE025</v>
      </c>
      <c r="C127" s="321">
        <f t="shared" si="5"/>
        <v>18.7</v>
      </c>
    </row>
    <row r="128" spans="1:3" x14ac:dyDescent="0.2">
      <c r="A128" s="199" t="s">
        <v>468</v>
      </c>
      <c r="B128" t="str">
        <f t="shared" si="4"/>
        <v>UE025</v>
      </c>
      <c r="C128" s="321">
        <f t="shared" si="5"/>
        <v>18.7</v>
      </c>
    </row>
    <row r="129" spans="1:3" x14ac:dyDescent="0.2">
      <c r="A129" s="199" t="s">
        <v>357</v>
      </c>
      <c r="B129" t="str">
        <f t="shared" si="4"/>
        <v>UE025</v>
      </c>
      <c r="C129" s="321">
        <f t="shared" si="5"/>
        <v>18.7</v>
      </c>
    </row>
    <row r="130" spans="1:3" x14ac:dyDescent="0.2">
      <c r="A130" s="199" t="s">
        <v>469</v>
      </c>
      <c r="B130" t="str">
        <f t="shared" si="4"/>
        <v>UE025</v>
      </c>
      <c r="C130" s="321">
        <f t="shared" si="5"/>
        <v>18.7</v>
      </c>
    </row>
    <row r="131" spans="1:3" x14ac:dyDescent="0.2">
      <c r="A131" s="199" t="s">
        <v>358</v>
      </c>
      <c r="B131" t="str">
        <f t="shared" si="4"/>
        <v>UE025</v>
      </c>
      <c r="C131" s="321">
        <f t="shared" si="5"/>
        <v>18.7</v>
      </c>
    </row>
    <row r="132" spans="1:3" x14ac:dyDescent="0.2">
      <c r="A132" s="199" t="s">
        <v>470</v>
      </c>
      <c r="B132" t="str">
        <f t="shared" si="4"/>
        <v>UE025</v>
      </c>
      <c r="C132" s="321">
        <f t="shared" si="5"/>
        <v>18.7</v>
      </c>
    </row>
    <row r="133" spans="1:3" x14ac:dyDescent="0.2">
      <c r="A133" s="199" t="s">
        <v>359</v>
      </c>
      <c r="B133" t="str">
        <f t="shared" si="4"/>
        <v>UE025</v>
      </c>
      <c r="C133" s="321">
        <f t="shared" si="5"/>
        <v>18.7</v>
      </c>
    </row>
    <row r="134" spans="1:3" x14ac:dyDescent="0.2">
      <c r="A134" s="199" t="s">
        <v>471</v>
      </c>
      <c r="B134" t="str">
        <f t="shared" si="4"/>
        <v>UE025</v>
      </c>
      <c r="C134" s="321">
        <f t="shared" si="5"/>
        <v>18.7</v>
      </c>
    </row>
    <row r="135" spans="1:3" x14ac:dyDescent="0.2">
      <c r="A135" s="199" t="s">
        <v>360</v>
      </c>
      <c r="B135" t="str">
        <f t="shared" si="4"/>
        <v>UE035</v>
      </c>
      <c r="C135" s="321">
        <f>VLOOKUP(B135,$I$53:$J$66,2,0)</f>
        <v>26.2</v>
      </c>
    </row>
    <row r="136" spans="1:3" x14ac:dyDescent="0.2">
      <c r="A136" s="199" t="s">
        <v>472</v>
      </c>
      <c r="B136" t="str">
        <f t="shared" si="4"/>
        <v>UE035</v>
      </c>
      <c r="C136" s="321">
        <f t="shared" ref="C136:C150" si="6">VLOOKUP(B136,$I$53:$J$66,2,0)</f>
        <v>26.2</v>
      </c>
    </row>
    <row r="137" spans="1:3" x14ac:dyDescent="0.2">
      <c r="A137" s="199" t="s">
        <v>361</v>
      </c>
      <c r="B137" t="str">
        <f t="shared" si="4"/>
        <v>UE035</v>
      </c>
      <c r="C137" s="321">
        <f t="shared" si="6"/>
        <v>26.2</v>
      </c>
    </row>
    <row r="138" spans="1:3" x14ac:dyDescent="0.2">
      <c r="A138" s="199" t="s">
        <v>473</v>
      </c>
      <c r="B138" t="str">
        <f t="shared" si="4"/>
        <v>UE035</v>
      </c>
      <c r="C138" s="321">
        <f t="shared" si="6"/>
        <v>26.2</v>
      </c>
    </row>
    <row r="139" spans="1:3" x14ac:dyDescent="0.2">
      <c r="A139" s="199" t="s">
        <v>362</v>
      </c>
      <c r="B139" t="str">
        <f t="shared" si="4"/>
        <v>UE035</v>
      </c>
      <c r="C139" s="321">
        <f t="shared" si="6"/>
        <v>26.2</v>
      </c>
    </row>
    <row r="140" spans="1:3" x14ac:dyDescent="0.2">
      <c r="A140" s="199" t="s">
        <v>474</v>
      </c>
      <c r="B140" t="str">
        <f t="shared" si="4"/>
        <v>UE035</v>
      </c>
      <c r="C140" s="321">
        <f t="shared" si="6"/>
        <v>26.2</v>
      </c>
    </row>
    <row r="141" spans="1:3" x14ac:dyDescent="0.2">
      <c r="A141" s="199" t="s">
        <v>363</v>
      </c>
      <c r="B141" t="str">
        <f t="shared" si="4"/>
        <v>UE035</v>
      </c>
      <c r="C141" s="321">
        <f t="shared" si="6"/>
        <v>26.2</v>
      </c>
    </row>
    <row r="142" spans="1:3" x14ac:dyDescent="0.2">
      <c r="A142" s="199" t="s">
        <v>475</v>
      </c>
      <c r="B142" t="str">
        <f t="shared" si="4"/>
        <v>UE035</v>
      </c>
      <c r="C142" s="321">
        <f t="shared" si="6"/>
        <v>26.2</v>
      </c>
    </row>
    <row r="143" spans="1:3" x14ac:dyDescent="0.2">
      <c r="A143" s="199" t="s">
        <v>364</v>
      </c>
      <c r="B143" t="str">
        <f t="shared" si="4"/>
        <v>UE035</v>
      </c>
      <c r="C143" s="321">
        <f t="shared" si="6"/>
        <v>26.2</v>
      </c>
    </row>
    <row r="144" spans="1:3" x14ac:dyDescent="0.2">
      <c r="A144" s="199" t="s">
        <v>476</v>
      </c>
      <c r="B144" t="str">
        <f t="shared" si="4"/>
        <v>UE035</v>
      </c>
      <c r="C144" s="321">
        <f t="shared" si="6"/>
        <v>26.2</v>
      </c>
    </row>
    <row r="145" spans="1:3" x14ac:dyDescent="0.2">
      <c r="A145" s="199" t="s">
        <v>365</v>
      </c>
      <c r="B145" t="str">
        <f t="shared" si="4"/>
        <v>UE045</v>
      </c>
      <c r="C145" s="321">
        <f t="shared" si="6"/>
        <v>33.700000000000003</v>
      </c>
    </row>
    <row r="146" spans="1:3" x14ac:dyDescent="0.2">
      <c r="A146" s="199" t="s">
        <v>477</v>
      </c>
      <c r="B146" t="str">
        <f t="shared" si="4"/>
        <v>UE045</v>
      </c>
      <c r="C146" s="321">
        <f t="shared" si="6"/>
        <v>33.700000000000003</v>
      </c>
    </row>
    <row r="147" spans="1:3" x14ac:dyDescent="0.2">
      <c r="A147" s="199" t="s">
        <v>366</v>
      </c>
      <c r="B147" t="str">
        <f t="shared" si="4"/>
        <v>UE045</v>
      </c>
      <c r="C147" s="321">
        <f t="shared" si="6"/>
        <v>33.700000000000003</v>
      </c>
    </row>
    <row r="148" spans="1:3" x14ac:dyDescent="0.2">
      <c r="A148" s="199" t="s">
        <v>478</v>
      </c>
      <c r="B148" t="str">
        <f t="shared" si="4"/>
        <v>UE045</v>
      </c>
      <c r="C148" s="321">
        <f t="shared" si="6"/>
        <v>33.700000000000003</v>
      </c>
    </row>
    <row r="149" spans="1:3" x14ac:dyDescent="0.2">
      <c r="A149" s="199" t="s">
        <v>367</v>
      </c>
      <c r="B149" t="str">
        <f t="shared" ref="B149:B180" si="7">MID(A149,1,5)</f>
        <v>UE045</v>
      </c>
      <c r="C149" s="321">
        <f t="shared" si="6"/>
        <v>33.700000000000003</v>
      </c>
    </row>
    <row r="150" spans="1:3" x14ac:dyDescent="0.2">
      <c r="A150" s="199" t="s">
        <v>479</v>
      </c>
      <c r="B150" t="str">
        <f t="shared" si="7"/>
        <v>UE045</v>
      </c>
      <c r="C150" s="321">
        <f t="shared" si="6"/>
        <v>33.700000000000003</v>
      </c>
    </row>
    <row r="151" spans="1:3" x14ac:dyDescent="0.2">
      <c r="A151" s="199" t="s">
        <v>368</v>
      </c>
      <c r="B151" t="str">
        <f t="shared" si="7"/>
        <v>UE045</v>
      </c>
      <c r="C151" s="321">
        <f>VLOOKUP(B151,$I$53:$J$66,2,0)</f>
        <v>33.700000000000003</v>
      </c>
    </row>
    <row r="152" spans="1:3" x14ac:dyDescent="0.2">
      <c r="A152" s="199" t="s">
        <v>480</v>
      </c>
      <c r="B152" t="str">
        <f t="shared" si="7"/>
        <v>UE045</v>
      </c>
      <c r="C152" s="321">
        <f t="shared" ref="C152:C168" si="8">VLOOKUP(B152,$I$53:$J$66,2,0)</f>
        <v>33.700000000000003</v>
      </c>
    </row>
    <row r="153" spans="1:3" x14ac:dyDescent="0.2">
      <c r="A153" s="199" t="s">
        <v>369</v>
      </c>
      <c r="B153" t="str">
        <f t="shared" si="7"/>
        <v>UE045</v>
      </c>
      <c r="C153" s="321">
        <f t="shared" si="8"/>
        <v>33.700000000000003</v>
      </c>
    </row>
    <row r="154" spans="1:3" x14ac:dyDescent="0.2">
      <c r="A154" s="199" t="s">
        <v>481</v>
      </c>
      <c r="B154" t="str">
        <f t="shared" si="7"/>
        <v>UE045</v>
      </c>
      <c r="C154" s="321">
        <f t="shared" si="8"/>
        <v>33.700000000000003</v>
      </c>
    </row>
    <row r="155" spans="1:3" x14ac:dyDescent="0.2">
      <c r="A155" s="199" t="s">
        <v>370</v>
      </c>
      <c r="B155" t="str">
        <f t="shared" si="7"/>
        <v>UE065</v>
      </c>
      <c r="C155" s="321">
        <f t="shared" si="8"/>
        <v>48.7</v>
      </c>
    </row>
    <row r="156" spans="1:3" x14ac:dyDescent="0.2">
      <c r="A156" s="199" t="s">
        <v>482</v>
      </c>
      <c r="B156" t="str">
        <f t="shared" si="7"/>
        <v>UE065</v>
      </c>
      <c r="C156" s="321">
        <f t="shared" si="8"/>
        <v>48.7</v>
      </c>
    </row>
    <row r="157" spans="1:3" x14ac:dyDescent="0.2">
      <c r="A157" s="199" t="s">
        <v>371</v>
      </c>
      <c r="B157" t="str">
        <f t="shared" si="7"/>
        <v>UE065</v>
      </c>
      <c r="C157" s="321">
        <f t="shared" si="8"/>
        <v>48.7</v>
      </c>
    </row>
    <row r="158" spans="1:3" x14ac:dyDescent="0.2">
      <c r="A158" s="199" t="s">
        <v>483</v>
      </c>
      <c r="B158" t="str">
        <f t="shared" si="7"/>
        <v>UE065</v>
      </c>
      <c r="C158" s="321">
        <f t="shared" si="8"/>
        <v>48.7</v>
      </c>
    </row>
    <row r="159" spans="1:3" x14ac:dyDescent="0.2">
      <c r="A159" s="199" t="s">
        <v>372</v>
      </c>
      <c r="B159" t="str">
        <f t="shared" si="7"/>
        <v>UE065</v>
      </c>
      <c r="C159" s="321">
        <f t="shared" si="8"/>
        <v>48.7</v>
      </c>
    </row>
    <row r="160" spans="1:3" x14ac:dyDescent="0.2">
      <c r="A160" s="199" t="s">
        <v>484</v>
      </c>
      <c r="B160" t="str">
        <f t="shared" si="7"/>
        <v>UE065</v>
      </c>
      <c r="C160" s="321">
        <f t="shared" si="8"/>
        <v>48.7</v>
      </c>
    </row>
    <row r="161" spans="1:3" x14ac:dyDescent="0.2">
      <c r="A161" s="199" t="s">
        <v>373</v>
      </c>
      <c r="B161" t="str">
        <f t="shared" si="7"/>
        <v>UE001</v>
      </c>
      <c r="C161" s="321">
        <f t="shared" si="8"/>
        <v>1.1000000000000001</v>
      </c>
    </row>
    <row r="162" spans="1:3" x14ac:dyDescent="0.2">
      <c r="A162" s="199" t="s">
        <v>485</v>
      </c>
      <c r="B162" t="str">
        <f t="shared" si="7"/>
        <v>UE001</v>
      </c>
      <c r="C162" s="321">
        <f t="shared" si="8"/>
        <v>1.1000000000000001</v>
      </c>
    </row>
    <row r="163" spans="1:3" x14ac:dyDescent="0.2">
      <c r="A163" s="199" t="s">
        <v>374</v>
      </c>
      <c r="B163" t="str">
        <f t="shared" si="7"/>
        <v>UE001</v>
      </c>
      <c r="C163" s="321">
        <f t="shared" si="8"/>
        <v>1.1000000000000001</v>
      </c>
    </row>
    <row r="164" spans="1:3" x14ac:dyDescent="0.2">
      <c r="A164" s="199" t="s">
        <v>486</v>
      </c>
      <c r="B164" t="str">
        <f t="shared" si="7"/>
        <v>UE001</v>
      </c>
      <c r="C164" s="321">
        <f t="shared" si="8"/>
        <v>1.1000000000000001</v>
      </c>
    </row>
    <row r="165" spans="1:3" x14ac:dyDescent="0.2">
      <c r="A165" s="199" t="s">
        <v>375</v>
      </c>
      <c r="B165" t="str">
        <f t="shared" si="7"/>
        <v>UE003</v>
      </c>
      <c r="C165" s="321">
        <f t="shared" si="8"/>
        <v>2.2000000000000002</v>
      </c>
    </row>
    <row r="166" spans="1:3" x14ac:dyDescent="0.2">
      <c r="A166" s="199" t="s">
        <v>487</v>
      </c>
      <c r="B166" t="str">
        <f t="shared" si="7"/>
        <v>UE003</v>
      </c>
      <c r="C166" s="321">
        <f t="shared" si="8"/>
        <v>2.2000000000000002</v>
      </c>
    </row>
    <row r="167" spans="1:3" x14ac:dyDescent="0.2">
      <c r="A167" s="199" t="s">
        <v>376</v>
      </c>
      <c r="B167" t="str">
        <f t="shared" si="7"/>
        <v>UE003</v>
      </c>
      <c r="C167" s="321">
        <f t="shared" si="8"/>
        <v>2.2000000000000002</v>
      </c>
    </row>
    <row r="168" spans="1:3" x14ac:dyDescent="0.2">
      <c r="A168" s="199" t="s">
        <v>488</v>
      </c>
      <c r="B168" t="str">
        <f t="shared" si="7"/>
        <v>UE003</v>
      </c>
      <c r="C168" s="321">
        <f t="shared" si="8"/>
        <v>2.2000000000000002</v>
      </c>
    </row>
    <row r="169" spans="1:3" x14ac:dyDescent="0.2">
      <c r="A169" s="199" t="s">
        <v>377</v>
      </c>
      <c r="B169" t="str">
        <f t="shared" si="7"/>
        <v>UE003</v>
      </c>
      <c r="C169" s="321">
        <f>VLOOKUP(B169,$I$53:$J$66,2,0)</f>
        <v>2.2000000000000002</v>
      </c>
    </row>
    <row r="170" spans="1:3" x14ac:dyDescent="0.2">
      <c r="A170" s="199" t="s">
        <v>489</v>
      </c>
      <c r="B170" t="str">
        <f t="shared" si="7"/>
        <v>UE003</v>
      </c>
      <c r="C170" s="321">
        <f t="shared" ref="C170:C187" si="9">VLOOKUP(B170,$I$53:$J$66,2,0)</f>
        <v>2.2000000000000002</v>
      </c>
    </row>
    <row r="171" spans="1:3" x14ac:dyDescent="0.2">
      <c r="A171" s="199" t="s">
        <v>378</v>
      </c>
      <c r="B171" t="str">
        <f t="shared" si="7"/>
        <v>UE003</v>
      </c>
      <c r="C171" s="321">
        <f t="shared" si="9"/>
        <v>2.2000000000000002</v>
      </c>
    </row>
    <row r="172" spans="1:3" x14ac:dyDescent="0.2">
      <c r="A172" s="199" t="s">
        <v>490</v>
      </c>
      <c r="B172" t="str">
        <f t="shared" si="7"/>
        <v>UE003</v>
      </c>
      <c r="C172" s="321">
        <f t="shared" si="9"/>
        <v>2.2000000000000002</v>
      </c>
    </row>
    <row r="173" spans="1:3" x14ac:dyDescent="0.2">
      <c r="A173" s="199"/>
      <c r="B173" t="str">
        <f t="shared" si="7"/>
        <v/>
      </c>
      <c r="C173" s="321" t="e">
        <f t="shared" si="9"/>
        <v>#N/A</v>
      </c>
    </row>
    <row r="174" spans="1:3" x14ac:dyDescent="0.2">
      <c r="A174" s="199"/>
      <c r="B174" t="str">
        <f t="shared" si="7"/>
        <v/>
      </c>
      <c r="C174" s="321" t="e">
        <f t="shared" si="9"/>
        <v>#N/A</v>
      </c>
    </row>
    <row r="175" spans="1:3" x14ac:dyDescent="0.2">
      <c r="A175" s="199" t="s">
        <v>379</v>
      </c>
      <c r="B175" t="str">
        <f t="shared" si="7"/>
        <v>UE003</v>
      </c>
      <c r="C175" s="321">
        <f t="shared" si="9"/>
        <v>2.2000000000000002</v>
      </c>
    </row>
    <row r="176" spans="1:3" x14ac:dyDescent="0.2">
      <c r="A176" s="199" t="s">
        <v>491</v>
      </c>
      <c r="B176" t="str">
        <f t="shared" si="7"/>
        <v>UE003</v>
      </c>
      <c r="C176" s="321">
        <f t="shared" si="9"/>
        <v>2.2000000000000002</v>
      </c>
    </row>
    <row r="177" spans="1:3" x14ac:dyDescent="0.2">
      <c r="A177" s="199" t="s">
        <v>380</v>
      </c>
      <c r="B177" t="str">
        <f t="shared" si="7"/>
        <v>UE003</v>
      </c>
      <c r="C177" s="321">
        <f t="shared" si="9"/>
        <v>2.2000000000000002</v>
      </c>
    </row>
    <row r="178" spans="1:3" x14ac:dyDescent="0.2">
      <c r="A178" s="199" t="s">
        <v>492</v>
      </c>
      <c r="B178" t="str">
        <f t="shared" si="7"/>
        <v>UE003</v>
      </c>
      <c r="C178" s="321">
        <f t="shared" si="9"/>
        <v>2.2000000000000002</v>
      </c>
    </row>
    <row r="179" spans="1:3" x14ac:dyDescent="0.2">
      <c r="A179" s="199" t="s">
        <v>381</v>
      </c>
      <c r="B179" t="str">
        <f t="shared" si="7"/>
        <v>UE005</v>
      </c>
      <c r="C179" s="321">
        <f t="shared" si="9"/>
        <v>3.7</v>
      </c>
    </row>
    <row r="180" spans="1:3" x14ac:dyDescent="0.2">
      <c r="A180" s="199" t="s">
        <v>493</v>
      </c>
      <c r="B180" t="str">
        <f t="shared" si="7"/>
        <v>UE005</v>
      </c>
      <c r="C180" s="321">
        <f t="shared" si="9"/>
        <v>3.7</v>
      </c>
    </row>
    <row r="181" spans="1:3" x14ac:dyDescent="0.2">
      <c r="A181" s="199" t="s">
        <v>382</v>
      </c>
      <c r="B181" t="str">
        <f t="shared" ref="B181:B212" si="10">MID(A181,1,5)</f>
        <v>UE005</v>
      </c>
      <c r="C181" s="321">
        <f t="shared" si="9"/>
        <v>3.7</v>
      </c>
    </row>
    <row r="182" spans="1:3" x14ac:dyDescent="0.2">
      <c r="A182" s="199" t="s">
        <v>494</v>
      </c>
      <c r="B182" t="str">
        <f t="shared" si="10"/>
        <v>UE005</v>
      </c>
      <c r="C182" s="321">
        <f t="shared" si="9"/>
        <v>3.7</v>
      </c>
    </row>
    <row r="183" spans="1:3" x14ac:dyDescent="0.2">
      <c r="A183" s="199" t="s">
        <v>383</v>
      </c>
      <c r="B183" t="str">
        <f t="shared" si="10"/>
        <v>UE005</v>
      </c>
      <c r="C183" s="321">
        <f t="shared" si="9"/>
        <v>3.7</v>
      </c>
    </row>
    <row r="184" spans="1:3" x14ac:dyDescent="0.2">
      <c r="A184" s="199" t="s">
        <v>495</v>
      </c>
      <c r="B184" t="str">
        <f t="shared" si="10"/>
        <v>UE005</v>
      </c>
      <c r="C184" s="321">
        <f t="shared" si="9"/>
        <v>3.7</v>
      </c>
    </row>
    <row r="185" spans="1:3" x14ac:dyDescent="0.2">
      <c r="A185" s="199" t="s">
        <v>384</v>
      </c>
      <c r="B185" t="str">
        <f t="shared" si="10"/>
        <v>UE005</v>
      </c>
      <c r="C185" s="321">
        <f t="shared" si="9"/>
        <v>3.7</v>
      </c>
    </row>
    <row r="186" spans="1:3" x14ac:dyDescent="0.2">
      <c r="A186" s="199" t="s">
        <v>496</v>
      </c>
      <c r="B186" t="str">
        <f t="shared" si="10"/>
        <v>UE005</v>
      </c>
      <c r="C186" s="321">
        <f t="shared" si="9"/>
        <v>3.7</v>
      </c>
    </row>
    <row r="187" spans="1:3" x14ac:dyDescent="0.2">
      <c r="A187" s="199" t="s">
        <v>385</v>
      </c>
      <c r="B187" t="str">
        <f t="shared" si="10"/>
        <v>UE005</v>
      </c>
      <c r="C187" s="321">
        <f t="shared" si="9"/>
        <v>3.7</v>
      </c>
    </row>
    <row r="188" spans="1:3" x14ac:dyDescent="0.2">
      <c r="A188" s="199" t="s">
        <v>497</v>
      </c>
      <c r="B188" t="str">
        <f t="shared" si="10"/>
        <v>UE005</v>
      </c>
      <c r="C188" s="321">
        <f>VLOOKUP(B188,$I$53:$J$66,2,0)</f>
        <v>3.7</v>
      </c>
    </row>
    <row r="189" spans="1:3" x14ac:dyDescent="0.2">
      <c r="A189" s="199" t="s">
        <v>386</v>
      </c>
      <c r="B189" t="str">
        <f t="shared" si="10"/>
        <v>UE005</v>
      </c>
      <c r="C189" s="321">
        <f t="shared" ref="C189:C214" si="11">VLOOKUP(B189,$I$53:$J$66,2,0)</f>
        <v>3.7</v>
      </c>
    </row>
    <row r="190" spans="1:3" x14ac:dyDescent="0.2">
      <c r="A190" s="199" t="s">
        <v>498</v>
      </c>
      <c r="B190" t="str">
        <f t="shared" si="10"/>
        <v>UE005</v>
      </c>
      <c r="C190" s="321">
        <f t="shared" si="11"/>
        <v>3.7</v>
      </c>
    </row>
    <row r="191" spans="1:3" x14ac:dyDescent="0.2">
      <c r="A191" s="199" t="s">
        <v>387</v>
      </c>
      <c r="B191" t="str">
        <f t="shared" si="10"/>
        <v>UE005</v>
      </c>
      <c r="C191" s="321">
        <f t="shared" si="11"/>
        <v>3.7</v>
      </c>
    </row>
    <row r="192" spans="1:3" x14ac:dyDescent="0.2">
      <c r="A192" s="199" t="s">
        <v>499</v>
      </c>
      <c r="B192" t="str">
        <f t="shared" si="10"/>
        <v>UE005</v>
      </c>
      <c r="C192" s="321">
        <f t="shared" si="11"/>
        <v>3.7</v>
      </c>
    </row>
    <row r="193" spans="1:3" x14ac:dyDescent="0.2">
      <c r="A193" s="199" t="s">
        <v>388</v>
      </c>
      <c r="B193" t="str">
        <f t="shared" si="10"/>
        <v>UE008</v>
      </c>
      <c r="C193" s="321">
        <f t="shared" si="11"/>
        <v>6</v>
      </c>
    </row>
    <row r="194" spans="1:3" x14ac:dyDescent="0.2">
      <c r="A194" s="199" t="s">
        <v>500</v>
      </c>
      <c r="B194" t="str">
        <f t="shared" si="10"/>
        <v>UE008</v>
      </c>
      <c r="C194" s="321">
        <f t="shared" si="11"/>
        <v>6</v>
      </c>
    </row>
    <row r="195" spans="1:3" x14ac:dyDescent="0.2">
      <c r="A195" s="199" t="s">
        <v>389</v>
      </c>
      <c r="B195" t="str">
        <f t="shared" si="10"/>
        <v>UE008</v>
      </c>
      <c r="C195" s="321">
        <f t="shared" si="11"/>
        <v>6</v>
      </c>
    </row>
    <row r="196" spans="1:3" x14ac:dyDescent="0.2">
      <c r="A196" s="199" t="s">
        <v>501</v>
      </c>
      <c r="B196" t="str">
        <f t="shared" si="10"/>
        <v>UE008</v>
      </c>
      <c r="C196" s="321">
        <f t="shared" si="11"/>
        <v>6</v>
      </c>
    </row>
    <row r="197" spans="1:3" x14ac:dyDescent="0.2">
      <c r="A197" s="199" t="s">
        <v>390</v>
      </c>
      <c r="B197" t="str">
        <f t="shared" si="10"/>
        <v>UE008</v>
      </c>
      <c r="C197" s="321">
        <f t="shared" si="11"/>
        <v>6</v>
      </c>
    </row>
    <row r="198" spans="1:3" x14ac:dyDescent="0.2">
      <c r="A198" s="199" t="s">
        <v>502</v>
      </c>
      <c r="B198" t="str">
        <f t="shared" si="10"/>
        <v>UE008</v>
      </c>
      <c r="C198" s="321">
        <f t="shared" si="11"/>
        <v>6</v>
      </c>
    </row>
    <row r="199" spans="1:3" x14ac:dyDescent="0.2">
      <c r="A199" s="199" t="s">
        <v>391</v>
      </c>
      <c r="B199" t="str">
        <f t="shared" si="10"/>
        <v>UE008</v>
      </c>
      <c r="C199" s="321">
        <f t="shared" si="11"/>
        <v>6</v>
      </c>
    </row>
    <row r="200" spans="1:3" x14ac:dyDescent="0.2">
      <c r="A200" s="199" t="s">
        <v>503</v>
      </c>
      <c r="B200" t="str">
        <f t="shared" si="10"/>
        <v>UE008</v>
      </c>
      <c r="C200" s="321">
        <f t="shared" si="11"/>
        <v>6</v>
      </c>
    </row>
    <row r="201" spans="1:3" x14ac:dyDescent="0.2">
      <c r="A201" s="199" t="s">
        <v>392</v>
      </c>
      <c r="B201" t="str">
        <f t="shared" si="10"/>
        <v>UE008</v>
      </c>
      <c r="C201" s="321">
        <f t="shared" si="11"/>
        <v>6</v>
      </c>
    </row>
    <row r="202" spans="1:3" x14ac:dyDescent="0.2">
      <c r="A202" s="199" t="s">
        <v>504</v>
      </c>
      <c r="B202" t="str">
        <f t="shared" si="10"/>
        <v>UE008</v>
      </c>
      <c r="C202" s="321">
        <f t="shared" si="11"/>
        <v>6</v>
      </c>
    </row>
    <row r="203" spans="1:3" x14ac:dyDescent="0.2">
      <c r="A203" s="199" t="s">
        <v>393</v>
      </c>
      <c r="B203" t="str">
        <f t="shared" si="10"/>
        <v>UE009</v>
      </c>
      <c r="C203" s="321">
        <f t="shared" si="11"/>
        <v>6.7</v>
      </c>
    </row>
    <row r="204" spans="1:3" x14ac:dyDescent="0.2">
      <c r="A204" s="199" t="s">
        <v>505</v>
      </c>
      <c r="B204" t="str">
        <f t="shared" si="10"/>
        <v>UE009</v>
      </c>
      <c r="C204" s="321">
        <f t="shared" si="11"/>
        <v>6.7</v>
      </c>
    </row>
    <row r="205" spans="1:3" x14ac:dyDescent="0.2">
      <c r="A205" s="199" t="s">
        <v>394</v>
      </c>
      <c r="B205" t="str">
        <f t="shared" si="10"/>
        <v>UE009</v>
      </c>
      <c r="C205" s="321">
        <f t="shared" si="11"/>
        <v>6.7</v>
      </c>
    </row>
    <row r="206" spans="1:3" x14ac:dyDescent="0.2">
      <c r="A206" s="199" t="s">
        <v>506</v>
      </c>
      <c r="B206" t="str">
        <f t="shared" si="10"/>
        <v>UE009</v>
      </c>
      <c r="C206" s="321">
        <f t="shared" si="11"/>
        <v>6.7</v>
      </c>
    </row>
    <row r="207" spans="1:3" x14ac:dyDescent="0.2">
      <c r="A207" s="199" t="s">
        <v>395</v>
      </c>
      <c r="B207" t="str">
        <f t="shared" si="10"/>
        <v>UE010</v>
      </c>
      <c r="C207" s="321">
        <f t="shared" si="11"/>
        <v>7.5</v>
      </c>
    </row>
    <row r="208" spans="1:3" x14ac:dyDescent="0.2">
      <c r="A208" s="199" t="s">
        <v>507</v>
      </c>
      <c r="B208" t="str">
        <f t="shared" si="10"/>
        <v>UE010</v>
      </c>
      <c r="C208" s="321">
        <f t="shared" si="11"/>
        <v>7.5</v>
      </c>
    </row>
    <row r="209" spans="1:3" x14ac:dyDescent="0.2">
      <c r="A209" s="199" t="s">
        <v>396</v>
      </c>
      <c r="B209" t="str">
        <f t="shared" si="10"/>
        <v>UE010</v>
      </c>
      <c r="C209" s="321">
        <f t="shared" si="11"/>
        <v>7.5</v>
      </c>
    </row>
    <row r="210" spans="1:3" x14ac:dyDescent="0.2">
      <c r="A210" s="199" t="s">
        <v>508</v>
      </c>
      <c r="B210" t="str">
        <f t="shared" si="10"/>
        <v>UE010</v>
      </c>
      <c r="C210" s="321">
        <f t="shared" si="11"/>
        <v>7.5</v>
      </c>
    </row>
    <row r="211" spans="1:3" x14ac:dyDescent="0.2">
      <c r="A211" s="199" t="s">
        <v>397</v>
      </c>
      <c r="B211" t="str">
        <f t="shared" si="10"/>
        <v>UE010</v>
      </c>
      <c r="C211" s="321">
        <f t="shared" si="11"/>
        <v>7.5</v>
      </c>
    </row>
    <row r="212" spans="1:3" x14ac:dyDescent="0.2">
      <c r="A212" s="199" t="s">
        <v>509</v>
      </c>
      <c r="B212" t="str">
        <f t="shared" si="10"/>
        <v>UE010</v>
      </c>
      <c r="C212" s="321">
        <f t="shared" si="11"/>
        <v>7.5</v>
      </c>
    </row>
    <row r="213" spans="1:3" x14ac:dyDescent="0.2">
      <c r="A213" s="199" t="s">
        <v>398</v>
      </c>
      <c r="B213" t="str">
        <f t="shared" ref="B213:B244" si="12">MID(A213,1,5)</f>
        <v>UE010</v>
      </c>
      <c r="C213" s="321">
        <f t="shared" si="11"/>
        <v>7.5</v>
      </c>
    </row>
    <row r="214" spans="1:3" x14ac:dyDescent="0.2">
      <c r="A214" s="199" t="s">
        <v>510</v>
      </c>
      <c r="B214" t="str">
        <f t="shared" si="12"/>
        <v>UE010</v>
      </c>
      <c r="C214" s="321">
        <f t="shared" si="11"/>
        <v>7.5</v>
      </c>
    </row>
    <row r="215" spans="1:3" x14ac:dyDescent="0.2">
      <c r="A215" s="199" t="s">
        <v>399</v>
      </c>
      <c r="B215" t="str">
        <f t="shared" si="12"/>
        <v>UE010</v>
      </c>
      <c r="C215" s="321">
        <f>VLOOKUP(B215,$I$53:$J$66,2,0)</f>
        <v>7.5</v>
      </c>
    </row>
    <row r="216" spans="1:3" x14ac:dyDescent="0.2">
      <c r="A216" s="199" t="s">
        <v>511</v>
      </c>
      <c r="B216" t="str">
        <f t="shared" si="12"/>
        <v>UE010</v>
      </c>
      <c r="C216" s="321">
        <f t="shared" ref="C216:C279" si="13">VLOOKUP(B216,$I$53:$J$66,2,0)</f>
        <v>7.5</v>
      </c>
    </row>
    <row r="217" spans="1:3" x14ac:dyDescent="0.2">
      <c r="A217" s="199" t="s">
        <v>400</v>
      </c>
      <c r="B217" t="str">
        <f t="shared" si="12"/>
        <v>UE015</v>
      </c>
      <c r="C217" s="321">
        <f t="shared" si="13"/>
        <v>11.2</v>
      </c>
    </row>
    <row r="218" spans="1:3" x14ac:dyDescent="0.2">
      <c r="A218" s="199" t="s">
        <v>512</v>
      </c>
      <c r="B218" t="str">
        <f t="shared" si="12"/>
        <v>UE015</v>
      </c>
      <c r="C218" s="321">
        <f t="shared" si="13"/>
        <v>11.2</v>
      </c>
    </row>
    <row r="219" spans="1:3" x14ac:dyDescent="0.2">
      <c r="A219" s="199" t="s">
        <v>401</v>
      </c>
      <c r="B219" t="str">
        <f t="shared" si="12"/>
        <v>UE015</v>
      </c>
      <c r="C219" s="321">
        <f t="shared" si="13"/>
        <v>11.2</v>
      </c>
    </row>
    <row r="220" spans="1:3" x14ac:dyDescent="0.2">
      <c r="A220" s="199" t="s">
        <v>513</v>
      </c>
      <c r="B220" t="str">
        <f t="shared" si="12"/>
        <v>UE015</v>
      </c>
      <c r="C220" s="321">
        <f t="shared" si="13"/>
        <v>11.2</v>
      </c>
    </row>
    <row r="221" spans="1:3" x14ac:dyDescent="0.2">
      <c r="A221" s="199" t="s">
        <v>402</v>
      </c>
      <c r="B221" t="str">
        <f t="shared" si="12"/>
        <v>UE015</v>
      </c>
      <c r="C221" s="321">
        <f t="shared" si="13"/>
        <v>11.2</v>
      </c>
    </row>
    <row r="222" spans="1:3" x14ac:dyDescent="0.2">
      <c r="A222" s="199" t="s">
        <v>514</v>
      </c>
      <c r="B222" t="str">
        <f t="shared" si="12"/>
        <v>UE015</v>
      </c>
      <c r="C222" s="321">
        <f t="shared" si="13"/>
        <v>11.2</v>
      </c>
    </row>
    <row r="223" spans="1:3" x14ac:dyDescent="0.2">
      <c r="A223" s="199" t="s">
        <v>403</v>
      </c>
      <c r="B223" t="str">
        <f t="shared" si="12"/>
        <v>UE015</v>
      </c>
      <c r="C223" s="321">
        <f t="shared" si="13"/>
        <v>11.2</v>
      </c>
    </row>
    <row r="224" spans="1:3" x14ac:dyDescent="0.2">
      <c r="A224" s="199" t="s">
        <v>515</v>
      </c>
      <c r="B224" t="str">
        <f t="shared" si="12"/>
        <v>UE015</v>
      </c>
      <c r="C224" s="321">
        <f t="shared" si="13"/>
        <v>11.2</v>
      </c>
    </row>
    <row r="225" spans="1:3" x14ac:dyDescent="0.2">
      <c r="A225" s="199" t="s">
        <v>404</v>
      </c>
      <c r="B225" t="str">
        <f t="shared" si="12"/>
        <v>UE015</v>
      </c>
      <c r="C225" s="321">
        <f t="shared" si="13"/>
        <v>11.2</v>
      </c>
    </row>
    <row r="226" spans="1:3" x14ac:dyDescent="0.2">
      <c r="A226" s="199" t="s">
        <v>516</v>
      </c>
      <c r="B226" t="str">
        <f t="shared" si="12"/>
        <v>UE015</v>
      </c>
      <c r="C226" s="321">
        <f t="shared" si="13"/>
        <v>11.2</v>
      </c>
    </row>
    <row r="227" spans="1:3" x14ac:dyDescent="0.2">
      <c r="A227" s="199" t="s">
        <v>405</v>
      </c>
      <c r="B227" t="str">
        <f t="shared" si="12"/>
        <v>UE018</v>
      </c>
      <c r="C227" s="321">
        <f t="shared" si="13"/>
        <v>13.5</v>
      </c>
    </row>
    <row r="228" spans="1:3" x14ac:dyDescent="0.2">
      <c r="A228" s="199" t="s">
        <v>517</v>
      </c>
      <c r="B228" t="str">
        <f t="shared" si="12"/>
        <v>UE018</v>
      </c>
      <c r="C228" s="321">
        <f t="shared" si="13"/>
        <v>13.5</v>
      </c>
    </row>
    <row r="229" spans="1:3" x14ac:dyDescent="0.2">
      <c r="A229" s="199" t="s">
        <v>406</v>
      </c>
      <c r="B229" t="str">
        <f t="shared" si="12"/>
        <v>UE018</v>
      </c>
      <c r="C229" s="321">
        <f t="shared" si="13"/>
        <v>13.5</v>
      </c>
    </row>
    <row r="230" spans="1:3" x14ac:dyDescent="0.2">
      <c r="A230" s="199" t="s">
        <v>518</v>
      </c>
      <c r="B230" t="str">
        <f t="shared" si="12"/>
        <v>UE018</v>
      </c>
      <c r="C230" s="321">
        <f t="shared" si="13"/>
        <v>13.5</v>
      </c>
    </row>
    <row r="231" spans="1:3" x14ac:dyDescent="0.2">
      <c r="A231" s="199" t="s">
        <v>407</v>
      </c>
      <c r="B231" t="str">
        <f t="shared" si="12"/>
        <v>UE018</v>
      </c>
      <c r="C231" s="321">
        <f t="shared" si="13"/>
        <v>13.5</v>
      </c>
    </row>
    <row r="232" spans="1:3" x14ac:dyDescent="0.2">
      <c r="A232" s="199" t="s">
        <v>519</v>
      </c>
      <c r="B232" t="str">
        <f t="shared" si="12"/>
        <v>UE018</v>
      </c>
      <c r="C232" s="321">
        <f t="shared" si="13"/>
        <v>13.5</v>
      </c>
    </row>
    <row r="233" spans="1:3" x14ac:dyDescent="0.2">
      <c r="A233" s="199" t="s">
        <v>408</v>
      </c>
      <c r="B233" t="str">
        <f t="shared" si="12"/>
        <v>UE025</v>
      </c>
      <c r="C233" s="321">
        <f t="shared" si="13"/>
        <v>18.7</v>
      </c>
    </row>
    <row r="234" spans="1:3" x14ac:dyDescent="0.2">
      <c r="A234" s="199" t="s">
        <v>520</v>
      </c>
      <c r="B234" t="str">
        <f t="shared" si="12"/>
        <v>UE025</v>
      </c>
      <c r="C234" s="321">
        <f t="shared" si="13"/>
        <v>18.7</v>
      </c>
    </row>
    <row r="235" spans="1:3" x14ac:dyDescent="0.2">
      <c r="A235" s="199" t="s">
        <v>409</v>
      </c>
      <c r="B235" t="str">
        <f t="shared" si="12"/>
        <v>UE025</v>
      </c>
      <c r="C235" s="321">
        <f t="shared" si="13"/>
        <v>18.7</v>
      </c>
    </row>
    <row r="236" spans="1:3" x14ac:dyDescent="0.2">
      <c r="A236" s="199" t="s">
        <v>521</v>
      </c>
      <c r="B236" t="str">
        <f t="shared" si="12"/>
        <v>UE025</v>
      </c>
      <c r="C236" s="321">
        <f t="shared" si="13"/>
        <v>18.7</v>
      </c>
    </row>
    <row r="237" spans="1:3" x14ac:dyDescent="0.2">
      <c r="A237" s="199" t="s">
        <v>410</v>
      </c>
      <c r="B237" t="str">
        <f t="shared" si="12"/>
        <v>UE025</v>
      </c>
      <c r="C237" s="321">
        <f t="shared" si="13"/>
        <v>18.7</v>
      </c>
    </row>
    <row r="238" spans="1:3" x14ac:dyDescent="0.2">
      <c r="A238" s="199" t="s">
        <v>522</v>
      </c>
      <c r="B238" t="str">
        <f t="shared" si="12"/>
        <v>UE025</v>
      </c>
      <c r="C238" s="321">
        <f t="shared" si="13"/>
        <v>18.7</v>
      </c>
    </row>
    <row r="239" spans="1:3" x14ac:dyDescent="0.2">
      <c r="A239" s="199" t="s">
        <v>411</v>
      </c>
      <c r="B239" t="str">
        <f t="shared" si="12"/>
        <v>UE025</v>
      </c>
      <c r="C239" s="321">
        <f t="shared" si="13"/>
        <v>18.7</v>
      </c>
    </row>
    <row r="240" spans="1:3" x14ac:dyDescent="0.2">
      <c r="A240" s="199" t="s">
        <v>523</v>
      </c>
      <c r="B240" t="str">
        <f t="shared" si="12"/>
        <v>UE025</v>
      </c>
      <c r="C240" s="321">
        <f t="shared" si="13"/>
        <v>18.7</v>
      </c>
    </row>
    <row r="241" spans="1:3" x14ac:dyDescent="0.2">
      <c r="A241" s="199" t="s">
        <v>412</v>
      </c>
      <c r="B241" t="str">
        <f t="shared" si="12"/>
        <v>UE025</v>
      </c>
      <c r="C241" s="321">
        <f t="shared" si="13"/>
        <v>18.7</v>
      </c>
    </row>
    <row r="242" spans="1:3" x14ac:dyDescent="0.2">
      <c r="A242" s="199" t="s">
        <v>524</v>
      </c>
      <c r="B242" t="str">
        <f t="shared" si="12"/>
        <v>UE025</v>
      </c>
      <c r="C242" s="321">
        <f t="shared" si="13"/>
        <v>18.7</v>
      </c>
    </row>
    <row r="243" spans="1:3" x14ac:dyDescent="0.2">
      <c r="A243" s="199" t="s">
        <v>413</v>
      </c>
      <c r="B243" t="str">
        <f t="shared" si="12"/>
        <v>UE035</v>
      </c>
      <c r="C243" s="321">
        <f t="shared" si="13"/>
        <v>26.2</v>
      </c>
    </row>
    <row r="244" spans="1:3" x14ac:dyDescent="0.2">
      <c r="A244" s="199" t="s">
        <v>525</v>
      </c>
      <c r="B244" t="str">
        <f t="shared" si="12"/>
        <v>UE035</v>
      </c>
      <c r="C244" s="321">
        <f t="shared" si="13"/>
        <v>26.2</v>
      </c>
    </row>
    <row r="245" spans="1:3" x14ac:dyDescent="0.2">
      <c r="A245" s="199" t="s">
        <v>414</v>
      </c>
      <c r="B245" t="str">
        <f>MID(A245,1,5)</f>
        <v>UE035</v>
      </c>
      <c r="C245" s="321">
        <f t="shared" si="13"/>
        <v>26.2</v>
      </c>
    </row>
    <row r="246" spans="1:3" x14ac:dyDescent="0.2">
      <c r="A246" s="199" t="s">
        <v>526</v>
      </c>
      <c r="B246" t="str">
        <f t="shared" ref="B246:B280" si="14">MID(A246,1,5)</f>
        <v>UE035</v>
      </c>
      <c r="C246" s="321">
        <f t="shared" si="13"/>
        <v>26.2</v>
      </c>
    </row>
    <row r="247" spans="1:3" x14ac:dyDescent="0.2">
      <c r="A247" s="199" t="s">
        <v>415</v>
      </c>
      <c r="B247" t="str">
        <f t="shared" si="14"/>
        <v>UE035</v>
      </c>
      <c r="C247" s="321">
        <f t="shared" si="13"/>
        <v>26.2</v>
      </c>
    </row>
    <row r="248" spans="1:3" x14ac:dyDescent="0.2">
      <c r="A248" s="199" t="s">
        <v>527</v>
      </c>
      <c r="B248" t="str">
        <f t="shared" si="14"/>
        <v>UE035</v>
      </c>
      <c r="C248" s="321">
        <f t="shared" si="13"/>
        <v>26.2</v>
      </c>
    </row>
    <row r="249" spans="1:3" x14ac:dyDescent="0.2">
      <c r="A249" s="199" t="s">
        <v>416</v>
      </c>
      <c r="B249" t="str">
        <f t="shared" si="14"/>
        <v>UE035</v>
      </c>
      <c r="C249" s="321">
        <f t="shared" si="13"/>
        <v>26.2</v>
      </c>
    </row>
    <row r="250" spans="1:3" x14ac:dyDescent="0.2">
      <c r="A250" s="199" t="s">
        <v>528</v>
      </c>
      <c r="B250" t="str">
        <f t="shared" si="14"/>
        <v>UE035</v>
      </c>
      <c r="C250" s="321">
        <f t="shared" si="13"/>
        <v>26.2</v>
      </c>
    </row>
    <row r="251" spans="1:3" x14ac:dyDescent="0.2">
      <c r="A251" s="199" t="s">
        <v>417</v>
      </c>
      <c r="B251" t="str">
        <f t="shared" si="14"/>
        <v>UE035</v>
      </c>
      <c r="C251" s="321">
        <f t="shared" si="13"/>
        <v>26.2</v>
      </c>
    </row>
    <row r="252" spans="1:3" x14ac:dyDescent="0.2">
      <c r="A252" s="199" t="s">
        <v>529</v>
      </c>
      <c r="B252" t="str">
        <f t="shared" si="14"/>
        <v>UE035</v>
      </c>
      <c r="C252" s="321">
        <f t="shared" si="13"/>
        <v>26.2</v>
      </c>
    </row>
    <row r="253" spans="1:3" x14ac:dyDescent="0.2">
      <c r="A253" s="199" t="s">
        <v>418</v>
      </c>
      <c r="B253" t="str">
        <f t="shared" si="14"/>
        <v>UE045</v>
      </c>
      <c r="C253" s="321">
        <f t="shared" si="13"/>
        <v>33.700000000000003</v>
      </c>
    </row>
    <row r="254" spans="1:3" x14ac:dyDescent="0.2">
      <c r="A254" s="199" t="s">
        <v>530</v>
      </c>
      <c r="B254" t="str">
        <f t="shared" si="14"/>
        <v>UE045</v>
      </c>
      <c r="C254" s="321">
        <f t="shared" si="13"/>
        <v>33.700000000000003</v>
      </c>
    </row>
    <row r="255" spans="1:3" x14ac:dyDescent="0.2">
      <c r="A255" s="199" t="s">
        <v>419</v>
      </c>
      <c r="B255" t="str">
        <f t="shared" si="14"/>
        <v>UE045</v>
      </c>
      <c r="C255" s="321">
        <f t="shared" si="13"/>
        <v>33.700000000000003</v>
      </c>
    </row>
    <row r="256" spans="1:3" x14ac:dyDescent="0.2">
      <c r="A256" s="199" t="s">
        <v>531</v>
      </c>
      <c r="B256" t="str">
        <f t="shared" si="14"/>
        <v>UE045</v>
      </c>
      <c r="C256" s="321">
        <f>VLOOKUP(B256,$I$53:$J$66,2,0)</f>
        <v>33.700000000000003</v>
      </c>
    </row>
    <row r="257" spans="1:3" x14ac:dyDescent="0.2">
      <c r="A257" s="199" t="s">
        <v>420</v>
      </c>
      <c r="B257" t="str">
        <f t="shared" si="14"/>
        <v>UE045</v>
      </c>
      <c r="C257" s="321">
        <f t="shared" si="13"/>
        <v>33.700000000000003</v>
      </c>
    </row>
    <row r="258" spans="1:3" x14ac:dyDescent="0.2">
      <c r="A258" s="199" t="s">
        <v>532</v>
      </c>
      <c r="B258" t="str">
        <f t="shared" si="14"/>
        <v>UE045</v>
      </c>
      <c r="C258" s="321">
        <f t="shared" si="13"/>
        <v>33.700000000000003</v>
      </c>
    </row>
    <row r="259" spans="1:3" x14ac:dyDescent="0.2">
      <c r="A259" s="199" t="s">
        <v>421</v>
      </c>
      <c r="B259" t="str">
        <f t="shared" si="14"/>
        <v>UE045</v>
      </c>
      <c r="C259" s="321">
        <f t="shared" si="13"/>
        <v>33.700000000000003</v>
      </c>
    </row>
    <row r="260" spans="1:3" x14ac:dyDescent="0.2">
      <c r="A260" s="199" t="s">
        <v>533</v>
      </c>
      <c r="B260" t="str">
        <f t="shared" si="14"/>
        <v>UE045</v>
      </c>
      <c r="C260" s="321">
        <f t="shared" si="13"/>
        <v>33.700000000000003</v>
      </c>
    </row>
    <row r="261" spans="1:3" x14ac:dyDescent="0.2">
      <c r="A261" s="199" t="s">
        <v>422</v>
      </c>
      <c r="B261" t="str">
        <f t="shared" si="14"/>
        <v>UE045</v>
      </c>
      <c r="C261" s="321">
        <f t="shared" si="13"/>
        <v>33.700000000000003</v>
      </c>
    </row>
    <row r="262" spans="1:3" x14ac:dyDescent="0.2">
      <c r="A262" s="199" t="s">
        <v>534</v>
      </c>
      <c r="B262" t="str">
        <f t="shared" si="14"/>
        <v>UE045</v>
      </c>
      <c r="C262" s="321">
        <f t="shared" si="13"/>
        <v>33.700000000000003</v>
      </c>
    </row>
    <row r="263" spans="1:3" x14ac:dyDescent="0.2">
      <c r="A263" s="199" t="s">
        <v>423</v>
      </c>
      <c r="B263" t="str">
        <f t="shared" si="14"/>
        <v>UE065</v>
      </c>
      <c r="C263" s="321">
        <f t="shared" si="13"/>
        <v>48.7</v>
      </c>
    </row>
    <row r="264" spans="1:3" x14ac:dyDescent="0.2">
      <c r="A264" s="199" t="s">
        <v>535</v>
      </c>
      <c r="B264" t="str">
        <f t="shared" si="14"/>
        <v>UE065</v>
      </c>
      <c r="C264" s="321">
        <f t="shared" si="13"/>
        <v>48.7</v>
      </c>
    </row>
    <row r="265" spans="1:3" x14ac:dyDescent="0.2">
      <c r="A265" s="199" t="s">
        <v>424</v>
      </c>
      <c r="B265" t="str">
        <f t="shared" si="14"/>
        <v>UE065</v>
      </c>
      <c r="C265" s="321">
        <f t="shared" si="13"/>
        <v>48.7</v>
      </c>
    </row>
    <row r="266" spans="1:3" x14ac:dyDescent="0.2">
      <c r="A266" s="199" t="s">
        <v>536</v>
      </c>
      <c r="B266" t="str">
        <f t="shared" si="14"/>
        <v>UE065</v>
      </c>
      <c r="C266" s="321">
        <f t="shared" si="13"/>
        <v>48.7</v>
      </c>
    </row>
    <row r="267" spans="1:3" x14ac:dyDescent="0.2">
      <c r="A267" s="199" t="s">
        <v>425</v>
      </c>
      <c r="B267" t="str">
        <f t="shared" si="14"/>
        <v>UE065</v>
      </c>
      <c r="C267" s="321">
        <f t="shared" si="13"/>
        <v>48.7</v>
      </c>
    </row>
    <row r="268" spans="1:3" x14ac:dyDescent="0.2">
      <c r="A268" s="199" t="s">
        <v>537</v>
      </c>
      <c r="B268" t="str">
        <f t="shared" si="14"/>
        <v>UE065</v>
      </c>
      <c r="C268" s="321">
        <f t="shared" si="13"/>
        <v>48.7</v>
      </c>
    </row>
    <row r="269" spans="1:3" x14ac:dyDescent="0.2">
      <c r="A269" s="199" t="s">
        <v>426</v>
      </c>
      <c r="B269" t="str">
        <f t="shared" si="14"/>
        <v>UE090</v>
      </c>
      <c r="C269" s="321">
        <f t="shared" si="13"/>
        <v>67.5</v>
      </c>
    </row>
    <row r="270" spans="1:3" x14ac:dyDescent="0.2">
      <c r="A270" s="199" t="s">
        <v>538</v>
      </c>
      <c r="B270" t="str">
        <f t="shared" si="14"/>
        <v>UE090</v>
      </c>
      <c r="C270" s="321">
        <f>VLOOKUP(B270,$I$53:$J$66,2,0)</f>
        <v>67.5</v>
      </c>
    </row>
    <row r="271" spans="1:3" x14ac:dyDescent="0.2">
      <c r="A271" s="199" t="s">
        <v>427</v>
      </c>
      <c r="B271" t="str">
        <f t="shared" si="14"/>
        <v>UE090</v>
      </c>
      <c r="C271" s="321">
        <f t="shared" si="13"/>
        <v>67.5</v>
      </c>
    </row>
    <row r="272" spans="1:3" x14ac:dyDescent="0.2">
      <c r="A272" s="199" t="s">
        <v>539</v>
      </c>
      <c r="B272" t="str">
        <f t="shared" si="14"/>
        <v>UE090</v>
      </c>
      <c r="C272" s="321">
        <f t="shared" si="13"/>
        <v>67.5</v>
      </c>
    </row>
    <row r="273" spans="1:3" x14ac:dyDescent="0.2">
      <c r="A273" s="199" t="s">
        <v>428</v>
      </c>
      <c r="B273" t="str">
        <f t="shared" si="14"/>
        <v>UE090</v>
      </c>
      <c r="C273" s="321">
        <f t="shared" si="13"/>
        <v>67.5</v>
      </c>
    </row>
    <row r="274" spans="1:3" x14ac:dyDescent="0.2">
      <c r="A274" s="199" t="s">
        <v>540</v>
      </c>
      <c r="B274" t="str">
        <f t="shared" si="14"/>
        <v>UE090</v>
      </c>
      <c r="C274" s="321">
        <f t="shared" si="13"/>
        <v>67.5</v>
      </c>
    </row>
    <row r="275" spans="1:3" x14ac:dyDescent="0.2">
      <c r="A275" s="199" t="s">
        <v>429</v>
      </c>
      <c r="B275" t="str">
        <f t="shared" si="14"/>
        <v>UE130</v>
      </c>
      <c r="C275" s="321">
        <f t="shared" si="13"/>
        <v>97.5</v>
      </c>
    </row>
    <row r="276" spans="1:3" x14ac:dyDescent="0.2">
      <c r="A276" s="199" t="s">
        <v>541</v>
      </c>
      <c r="B276" t="str">
        <f t="shared" si="14"/>
        <v>UE130</v>
      </c>
      <c r="C276" s="321">
        <f t="shared" si="13"/>
        <v>97.5</v>
      </c>
    </row>
    <row r="277" spans="1:3" x14ac:dyDescent="0.2">
      <c r="A277" s="199" t="s">
        <v>430</v>
      </c>
      <c r="B277" t="str">
        <f t="shared" si="14"/>
        <v>UE130</v>
      </c>
      <c r="C277" s="321">
        <f t="shared" si="13"/>
        <v>97.5</v>
      </c>
    </row>
    <row r="278" spans="1:3" x14ac:dyDescent="0.2">
      <c r="A278" s="199" t="s">
        <v>542</v>
      </c>
      <c r="B278" t="str">
        <f t="shared" si="14"/>
        <v>UE130</v>
      </c>
      <c r="C278" s="321">
        <f t="shared" si="13"/>
        <v>97.5</v>
      </c>
    </row>
    <row r="279" spans="1:3" x14ac:dyDescent="0.2">
      <c r="A279" s="199" t="s">
        <v>431</v>
      </c>
      <c r="B279" t="str">
        <f t="shared" si="14"/>
        <v>UE130</v>
      </c>
      <c r="C279" s="321">
        <f t="shared" si="13"/>
        <v>97.5</v>
      </c>
    </row>
    <row r="280" spans="1:3" x14ac:dyDescent="0.2">
      <c r="A280" s="199" t="s">
        <v>543</v>
      </c>
      <c r="B280" t="str">
        <f t="shared" si="14"/>
        <v>UE130</v>
      </c>
      <c r="C280" s="321">
        <f>VLOOKUP(B280,$I$53:$J$66,2,0)</f>
        <v>97.5</v>
      </c>
    </row>
    <row r="282" spans="1:3" x14ac:dyDescent="0.2">
      <c r="A282" s="199" t="s">
        <v>2728</v>
      </c>
      <c r="C282" s="321">
        <v>0.11</v>
      </c>
    </row>
    <row r="283" spans="1:3" x14ac:dyDescent="0.2">
      <c r="A283" s="199" t="s">
        <v>2729</v>
      </c>
      <c r="C283" s="321">
        <v>0.14000000000000001</v>
      </c>
    </row>
    <row r="284" spans="1:3" x14ac:dyDescent="0.2">
      <c r="A284" s="199" t="s">
        <v>2730</v>
      </c>
      <c r="C284" s="321">
        <v>0.19</v>
      </c>
    </row>
    <row r="285" spans="1:3" x14ac:dyDescent="0.2">
      <c r="A285" s="199" t="s">
        <v>2731</v>
      </c>
      <c r="C285" s="321">
        <v>0.11</v>
      </c>
    </row>
    <row r="286" spans="1:3" x14ac:dyDescent="0.2">
      <c r="A286" s="199" t="s">
        <v>2732</v>
      </c>
      <c r="C286" s="321">
        <v>0.14000000000000001</v>
      </c>
    </row>
    <row r="287" spans="1:3" x14ac:dyDescent="0.2">
      <c r="A287" s="199" t="s">
        <v>2733</v>
      </c>
      <c r="C287" s="321">
        <v>0.19</v>
      </c>
    </row>
  </sheetData>
  <mergeCells count="1">
    <mergeCell ref="A1:C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8"/>
  <dimension ref="A1:Q36"/>
  <sheetViews>
    <sheetView zoomScale="85" zoomScaleNormal="85" workbookViewId="0">
      <selection activeCell="E23" sqref="E23"/>
    </sheetView>
  </sheetViews>
  <sheetFormatPr defaultRowHeight="12.75" x14ac:dyDescent="0.2"/>
  <cols>
    <col min="2" max="2" width="12.85546875" bestFit="1" customWidth="1"/>
    <col min="3" max="3" width="15.5703125" customWidth="1"/>
    <col min="4" max="4" width="16.7109375" customWidth="1"/>
    <col min="5" max="5" width="14.28515625" customWidth="1"/>
    <col min="6" max="6" width="11" customWidth="1"/>
    <col min="7" max="7" width="12.28515625" bestFit="1" customWidth="1"/>
    <col min="8" max="8" width="13.85546875" bestFit="1" customWidth="1"/>
    <col min="9" max="9" width="8.28515625" customWidth="1"/>
    <col min="10" max="10" width="17" customWidth="1"/>
    <col min="11" max="11" width="49.28515625" bestFit="1" customWidth="1"/>
    <col min="12" max="12" width="19.5703125" bestFit="1" customWidth="1"/>
    <col min="13" max="13" width="54.28515625" bestFit="1" customWidth="1"/>
    <col min="14" max="14" width="18.140625" bestFit="1" customWidth="1"/>
    <col min="15" max="15" width="13.85546875" bestFit="1" customWidth="1"/>
    <col min="16" max="16" width="24.5703125" bestFit="1" customWidth="1"/>
    <col min="17" max="17" width="36.7109375" bestFit="1" customWidth="1"/>
  </cols>
  <sheetData>
    <row r="1" spans="1:17" ht="13.5" thickBot="1" x14ac:dyDescent="0.25">
      <c r="H1" s="292" t="s">
        <v>2823</v>
      </c>
      <c r="I1" s="292"/>
      <c r="J1" s="292" t="s">
        <v>2824</v>
      </c>
      <c r="K1" s="292" t="s">
        <v>2825</v>
      </c>
      <c r="L1" s="292" t="s">
        <v>2826</v>
      </c>
      <c r="M1" s="292" t="s">
        <v>2827</v>
      </c>
    </row>
    <row r="2" spans="1:17" ht="13.5" thickTop="1" x14ac:dyDescent="0.2">
      <c r="A2" s="804"/>
      <c r="B2" s="413"/>
      <c r="C2" s="803" t="s">
        <v>2772</v>
      </c>
      <c r="D2" s="803"/>
      <c r="E2" s="414"/>
      <c r="G2" s="799" t="s">
        <v>2813</v>
      </c>
      <c r="H2" s="305" t="s">
        <v>950</v>
      </c>
      <c r="I2" s="301" t="s">
        <v>2883</v>
      </c>
      <c r="J2" s="301" t="s">
        <v>3169</v>
      </c>
      <c r="K2" s="315" t="str">
        <f>VLOOKUP(J2,LINGUA!$B$523:$C$532,2,0)</f>
        <v>Reverse osmosis system 60 l / h - 230V 50Hz - for steel</v>
      </c>
      <c r="L2" s="301" t="s">
        <v>2853</v>
      </c>
      <c r="M2" s="301" t="str">
        <f>VLOOKUP(L2,LINGUA!$B$523:$C$542,2,0)</f>
        <v>Kit expansion vessel with hoses and fittings</v>
      </c>
      <c r="O2" s="805" t="s">
        <v>610</v>
      </c>
      <c r="P2" s="807" t="s">
        <v>2776</v>
      </c>
      <c r="Q2" s="809" t="s">
        <v>2777</v>
      </c>
    </row>
    <row r="3" spans="1:17" ht="22.9" customHeight="1" thickBot="1" x14ac:dyDescent="0.25">
      <c r="A3" s="804"/>
      <c r="B3" s="413"/>
      <c r="C3" s="415" t="s">
        <v>2884</v>
      </c>
      <c r="D3" s="416" t="s">
        <v>2771</v>
      </c>
      <c r="E3" s="416" t="str">
        <f>LINGUA!C765</f>
        <v>Tecnical and practical support</v>
      </c>
      <c r="G3" s="800"/>
      <c r="H3" s="305" t="s">
        <v>951</v>
      </c>
      <c r="I3" s="301" t="s">
        <v>2883</v>
      </c>
      <c r="J3" s="301" t="s">
        <v>3169</v>
      </c>
      <c r="K3" s="315" t="str">
        <f>VLOOKUP(J3,LINGUA!$B$523:$C$532,2,0)</f>
        <v>Reverse osmosis system 60 l / h - 230V 50Hz - for steel</v>
      </c>
      <c r="L3" s="301" t="s">
        <v>2853</v>
      </c>
      <c r="M3" s="301" t="str">
        <f>VLOOKUP(L3,LINGUA!$B$523:$C$542,2,0)</f>
        <v>Kit expansion vessel with hoses and fittings</v>
      </c>
      <c r="O3" s="806"/>
      <c r="P3" s="808"/>
      <c r="Q3" s="810"/>
    </row>
    <row r="4" spans="1:17" ht="22.9" customHeight="1" thickBot="1" x14ac:dyDescent="0.25">
      <c r="A4" s="417" t="s">
        <v>2769</v>
      </c>
      <c r="B4" s="417" t="s">
        <v>2944</v>
      </c>
      <c r="C4" s="413">
        <v>200</v>
      </c>
      <c r="D4" s="418">
        <v>50</v>
      </c>
      <c r="E4" s="419">
        <v>250</v>
      </c>
      <c r="G4" s="800"/>
      <c r="H4" s="305" t="s">
        <v>952</v>
      </c>
      <c r="I4" s="301" t="s">
        <v>2883</v>
      </c>
      <c r="J4" s="301" t="s">
        <v>3169</v>
      </c>
      <c r="K4" s="315" t="str">
        <f>VLOOKUP(J4,LINGUA!$B$523:$C$532,2,0)</f>
        <v>Reverse osmosis system 60 l / h - 230V 50Hz - for steel</v>
      </c>
      <c r="L4" s="301" t="s">
        <v>2853</v>
      </c>
      <c r="M4" s="301" t="str">
        <f>VLOOKUP(L4,LINGUA!$B$523:$C$542,2,0)</f>
        <v>Kit expansion vessel with hoses and fittings</v>
      </c>
      <c r="O4" s="437" t="s">
        <v>1417</v>
      </c>
      <c r="P4" s="438" t="s">
        <v>2778</v>
      </c>
      <c r="Q4" s="439" t="s">
        <v>2779</v>
      </c>
    </row>
    <row r="5" spans="1:17" ht="22.9" customHeight="1" thickBot="1" x14ac:dyDescent="0.25">
      <c r="A5" s="417" t="s">
        <v>609</v>
      </c>
      <c r="B5" s="417" t="s">
        <v>2944</v>
      </c>
      <c r="C5" s="413">
        <v>200</v>
      </c>
      <c r="D5" s="418">
        <v>50</v>
      </c>
      <c r="E5" s="419">
        <v>250</v>
      </c>
      <c r="G5" s="800"/>
      <c r="H5" s="305" t="s">
        <v>953</v>
      </c>
      <c r="I5" s="301" t="s">
        <v>2883</v>
      </c>
      <c r="J5" s="301" t="s">
        <v>3169</v>
      </c>
      <c r="K5" s="315" t="str">
        <f>VLOOKUP(J5,LINGUA!$B$523:$C$532,2,0)</f>
        <v>Reverse osmosis system 60 l / h - 230V 50Hz - for steel</v>
      </c>
      <c r="L5" s="301" t="s">
        <v>2853</v>
      </c>
      <c r="M5" s="301" t="str">
        <f>VLOOKUP(L5,LINGUA!$B$523:$C$542,2,0)</f>
        <v>Kit expansion vessel with hoses and fittings</v>
      </c>
      <c r="O5" s="440" t="s">
        <v>1418</v>
      </c>
      <c r="P5" s="296" t="s">
        <v>2778</v>
      </c>
      <c r="Q5" s="441" t="s">
        <v>2779</v>
      </c>
    </row>
    <row r="6" spans="1:17" ht="22.9" customHeight="1" thickBot="1" x14ac:dyDescent="0.25">
      <c r="A6" s="417" t="s">
        <v>610</v>
      </c>
      <c r="B6" s="417" t="s">
        <v>2944</v>
      </c>
      <c r="C6" s="413">
        <v>400</v>
      </c>
      <c r="D6" s="418">
        <v>100</v>
      </c>
      <c r="E6" s="419">
        <v>450</v>
      </c>
      <c r="G6" s="800"/>
      <c r="H6" s="305" t="s">
        <v>2989</v>
      </c>
      <c r="I6" s="301" t="s">
        <v>2883</v>
      </c>
      <c r="J6" s="301" t="s">
        <v>3169</v>
      </c>
      <c r="K6" s="315" t="str">
        <f>VLOOKUP(J6,LINGUA!$B$523:$C$532,2,0)</f>
        <v>Reverse osmosis system 60 l / h - 230V 50Hz - for steel</v>
      </c>
      <c r="L6" s="301" t="s">
        <v>2853</v>
      </c>
      <c r="M6" s="301" t="str">
        <f>VLOOKUP(L6,LINGUA!$B$523:$C$542,2,0)</f>
        <v>Kit expansion vessel with hoses and fittings</v>
      </c>
      <c r="O6" s="442" t="s">
        <v>2780</v>
      </c>
      <c r="P6" s="443" t="s">
        <v>2781</v>
      </c>
      <c r="Q6" s="444" t="s">
        <v>2779</v>
      </c>
    </row>
    <row r="7" spans="1:17" ht="22.9" customHeight="1" thickBot="1" x14ac:dyDescent="0.25">
      <c r="A7" s="417"/>
      <c r="B7" s="417"/>
      <c r="C7" s="413"/>
      <c r="D7" s="413"/>
      <c r="E7" s="414"/>
      <c r="G7" s="800"/>
      <c r="H7" s="301" t="s">
        <v>954</v>
      </c>
      <c r="I7" s="301" t="s">
        <v>2991</v>
      </c>
      <c r="J7" s="301" t="s">
        <v>3169</v>
      </c>
      <c r="K7" s="315" t="str">
        <f>VLOOKUP(J7,LINGUA!$B$523:$C$532,2,0)</f>
        <v>Reverse osmosis system 60 l / h - 230V 50Hz - for steel</v>
      </c>
      <c r="L7" s="301" t="s">
        <v>2775</v>
      </c>
      <c r="M7" s="301" t="str">
        <f>VLOOKUP(L7,LINGUA!$B$523:$C$542,2,0)</f>
        <v>AUTOCLAVE 200 Liters (expansion vessel)</v>
      </c>
    </row>
    <row r="8" spans="1:17" ht="14.25" thickTop="1" thickBot="1" x14ac:dyDescent="0.25">
      <c r="A8" s="417" t="s">
        <v>2770</v>
      </c>
      <c r="B8" s="417" t="s">
        <v>2944</v>
      </c>
      <c r="C8" s="413">
        <v>350</v>
      </c>
      <c r="D8" s="413">
        <v>250</v>
      </c>
      <c r="E8" s="414"/>
      <c r="G8" s="800"/>
      <c r="H8" s="301" t="s">
        <v>955</v>
      </c>
      <c r="I8" s="301" t="s">
        <v>2991</v>
      </c>
      <c r="J8" s="301" t="s">
        <v>3169</v>
      </c>
      <c r="K8" s="315" t="str">
        <f>VLOOKUP(J8,LINGUA!$B$523:$C$532,2,0)</f>
        <v>Reverse osmosis system 60 l / h - 230V 50Hz - for steel</v>
      </c>
      <c r="L8" s="301" t="s">
        <v>2775</v>
      </c>
      <c r="M8" s="301" t="str">
        <f>VLOOKUP(L8,LINGUA!$B$523:$C$542,2,0)</f>
        <v>AUTOCLAVE 200 Liters (expansion vessel)</v>
      </c>
      <c r="O8" s="410" t="s">
        <v>609</v>
      </c>
      <c r="P8" s="411" t="s">
        <v>2776</v>
      </c>
      <c r="Q8" s="412" t="s">
        <v>2777</v>
      </c>
    </row>
    <row r="9" spans="1:17" x14ac:dyDescent="0.2">
      <c r="A9" s="424"/>
      <c r="B9" s="424"/>
      <c r="C9" s="425"/>
      <c r="D9" s="425"/>
      <c r="E9" s="414"/>
      <c r="G9" s="800"/>
      <c r="H9" s="301" t="s">
        <v>956</v>
      </c>
      <c r="I9" s="301" t="s">
        <v>2991</v>
      </c>
      <c r="J9" s="301" t="s">
        <v>3169</v>
      </c>
      <c r="K9" s="315" t="str">
        <f>VLOOKUP(J9,LINGUA!$B$523:$C$532,2,0)</f>
        <v>Reverse osmosis system 60 l / h - 230V 50Hz - for steel</v>
      </c>
      <c r="L9" s="302" t="s">
        <v>2775</v>
      </c>
      <c r="M9" s="301" t="str">
        <f>VLOOKUP(L9,LINGUA!$B$523:$C$542,2,0)</f>
        <v>AUTOCLAVE 200 Liters (expansion vessel)</v>
      </c>
      <c r="O9" s="429" t="s">
        <v>2782</v>
      </c>
      <c r="P9" s="430" t="s">
        <v>2783</v>
      </c>
      <c r="Q9" s="431" t="s">
        <v>2784</v>
      </c>
    </row>
    <row r="10" spans="1:17" x14ac:dyDescent="0.2">
      <c r="A10" s="414"/>
      <c r="B10" s="414"/>
      <c r="C10" s="420">
        <v>250</v>
      </c>
      <c r="D10" s="420">
        <v>450</v>
      </c>
      <c r="E10" s="414"/>
      <c r="G10" s="800"/>
      <c r="H10" s="301" t="s">
        <v>2990</v>
      </c>
      <c r="I10" s="301" t="s">
        <v>2991</v>
      </c>
      <c r="J10" s="301" t="s">
        <v>3169</v>
      </c>
      <c r="K10" s="315" t="str">
        <f>VLOOKUP(J10,LINGUA!$B$523:$C$532,2,0)</f>
        <v>Reverse osmosis system 60 l / h - 230V 50Hz - for steel</v>
      </c>
      <c r="L10" s="303" t="s">
        <v>2797</v>
      </c>
      <c r="M10" s="301" t="str">
        <f>VLOOKUP(L10,LINGUA!$B$523:$C$542,2,0)</f>
        <v>AUTOCLAVE 300 Liters (expansion vessel)</v>
      </c>
      <c r="O10" s="432" t="s">
        <v>2785</v>
      </c>
      <c r="P10" s="427" t="s">
        <v>2786</v>
      </c>
      <c r="Q10" s="433" t="s">
        <v>2784</v>
      </c>
    </row>
    <row r="11" spans="1:17" ht="27.6" customHeight="1" x14ac:dyDescent="0.2">
      <c r="A11" s="414"/>
      <c r="B11" s="414"/>
      <c r="C11" s="420"/>
      <c r="D11" s="426"/>
      <c r="E11" s="414"/>
      <c r="G11" s="800"/>
      <c r="H11" s="301" t="s">
        <v>957</v>
      </c>
      <c r="I11" s="301" t="s">
        <v>2991</v>
      </c>
      <c r="J11" s="301" t="s">
        <v>3169</v>
      </c>
      <c r="K11" s="315" t="str">
        <f>VLOOKUP(J11,LINGUA!$B$523:$C$532,2,0)</f>
        <v>Reverse osmosis system 60 l / h - 230V 50Hz - for steel</v>
      </c>
      <c r="L11" s="303" t="s">
        <v>2797</v>
      </c>
      <c r="M11" s="301" t="str">
        <f>VLOOKUP(L11,LINGUA!$B$523:$C$542,2,0)</f>
        <v>AUTOCLAVE 300 Liters (expansion vessel)</v>
      </c>
      <c r="O11" s="432" t="s">
        <v>2787</v>
      </c>
      <c r="P11" s="427" t="s">
        <v>2786</v>
      </c>
      <c r="Q11" s="433" t="s">
        <v>2784</v>
      </c>
    </row>
    <row r="12" spans="1:17" ht="27.6" customHeight="1" x14ac:dyDescent="0.2">
      <c r="A12" s="414"/>
      <c r="B12" s="414"/>
      <c r="C12" s="421" t="str">
        <f>LINGUA!C760</f>
        <v>Training- 2 h at yard</v>
      </c>
      <c r="D12" s="422"/>
      <c r="E12" s="414"/>
      <c r="G12" s="801"/>
      <c r="H12" s="301" t="s">
        <v>2993</v>
      </c>
      <c r="I12" s="303" t="s">
        <v>2992</v>
      </c>
      <c r="J12" s="301" t="s">
        <v>2815</v>
      </c>
      <c r="K12" s="315" t="str">
        <f>VLOOKUP(J12,LINGUA!$B$523:$C$532,2,0)</f>
        <v>Reverse osmosis system 100 l / h - 230V 50Hz - for steel</v>
      </c>
      <c r="L12" s="303" t="s">
        <v>2797</v>
      </c>
      <c r="M12" s="301" t="str">
        <f>VLOOKUP(L12,LINGUA!$B$523:$C$542,2,0)</f>
        <v>AUTOCLAVE 300 Liters (expansion vessel)</v>
      </c>
      <c r="O12" s="432" t="s">
        <v>2788</v>
      </c>
      <c r="P12" s="427" t="s">
        <v>2786</v>
      </c>
      <c r="Q12" s="433" t="s">
        <v>2784</v>
      </c>
    </row>
    <row r="13" spans="1:17" ht="28.15" customHeight="1" x14ac:dyDescent="0.2">
      <c r="A13" s="414"/>
      <c r="B13" s="414"/>
      <c r="C13" s="423">
        <v>125</v>
      </c>
      <c r="D13" s="414"/>
      <c r="E13" s="414"/>
      <c r="F13" s="304"/>
      <c r="G13" s="796" t="s">
        <v>2814</v>
      </c>
      <c r="H13" s="306" t="s">
        <v>950</v>
      </c>
      <c r="I13" s="317" t="s">
        <v>2883</v>
      </c>
      <c r="J13" s="316" t="s">
        <v>3171</v>
      </c>
      <c r="K13" s="314" t="str">
        <f>VLOOKUP(J13,LINGUA!$B$523:$C$532,2,0)</f>
        <v>Reverse osmosis system 60 l / h - 230V 60Hz - for steel</v>
      </c>
      <c r="L13" s="307" t="s">
        <v>2853</v>
      </c>
      <c r="M13" s="301" t="str">
        <f>VLOOKUP(L13,LINGUA!$B$523:$C$542,2,0)</f>
        <v>Kit expansion vessel with hoses and fittings</v>
      </c>
      <c r="O13" s="432" t="s">
        <v>2789</v>
      </c>
      <c r="P13" s="428" t="s">
        <v>2790</v>
      </c>
      <c r="Q13" s="433" t="s">
        <v>2791</v>
      </c>
    </row>
    <row r="14" spans="1:17" x14ac:dyDescent="0.2">
      <c r="F14" s="304"/>
      <c r="G14" s="797"/>
      <c r="H14" s="306" t="s">
        <v>951</v>
      </c>
      <c r="I14" s="317" t="s">
        <v>2883</v>
      </c>
      <c r="J14" s="316" t="s">
        <v>3171</v>
      </c>
      <c r="K14" s="314" t="str">
        <f>VLOOKUP(J14,LINGUA!$B$523:$C$532,2,0)</f>
        <v>Reverse osmosis system 60 l / h - 230V 60Hz - for steel</v>
      </c>
      <c r="L14" s="307" t="s">
        <v>2853</v>
      </c>
      <c r="M14" s="301" t="str">
        <f>VLOOKUP(L14,LINGUA!$B$523:$C$542,2,0)</f>
        <v>Kit expansion vessel with hoses and fittings</v>
      </c>
      <c r="O14" s="432" t="s">
        <v>2792</v>
      </c>
      <c r="P14" s="428" t="s">
        <v>2790</v>
      </c>
      <c r="Q14" s="433" t="s">
        <v>2779</v>
      </c>
    </row>
    <row r="15" spans="1:17" x14ac:dyDescent="0.2">
      <c r="G15" s="797"/>
      <c r="H15" s="306" t="s">
        <v>952</v>
      </c>
      <c r="I15" s="318" t="s">
        <v>2883</v>
      </c>
      <c r="J15" s="316" t="s">
        <v>3171</v>
      </c>
      <c r="K15" s="314" t="str">
        <f>VLOOKUP(J15,LINGUA!$B$523:$C$532,2,0)</f>
        <v>Reverse osmosis system 60 l / h - 230V 60Hz - for steel</v>
      </c>
      <c r="L15" s="307" t="s">
        <v>2853</v>
      </c>
      <c r="M15" s="301" t="str">
        <f>VLOOKUP(L15,LINGUA!$B$523:$C$542,2,0)</f>
        <v>Kit expansion vessel with hoses and fittings</v>
      </c>
      <c r="O15" s="432" t="s">
        <v>2793</v>
      </c>
      <c r="P15" s="428" t="s">
        <v>2790</v>
      </c>
      <c r="Q15" s="433" t="s">
        <v>2779</v>
      </c>
    </row>
    <row r="16" spans="1:17" x14ac:dyDescent="0.2">
      <c r="G16" s="797"/>
      <c r="H16" s="306" t="s">
        <v>953</v>
      </c>
      <c r="I16" s="318" t="s">
        <v>2883</v>
      </c>
      <c r="J16" s="316" t="s">
        <v>3171</v>
      </c>
      <c r="K16" s="314" t="str">
        <f>VLOOKUP(J16,LINGUA!$B$523:$C$532,2,0)</f>
        <v>Reverse osmosis system 60 l / h - 230V 60Hz - for steel</v>
      </c>
      <c r="L16" s="308" t="s">
        <v>2853</v>
      </c>
      <c r="M16" s="301" t="str">
        <f>VLOOKUP(L16,LINGUA!$B$523:$C$542,2,0)</f>
        <v>Kit expansion vessel with hoses and fittings</v>
      </c>
      <c r="O16" s="432" t="s">
        <v>2794</v>
      </c>
      <c r="P16" s="428" t="s">
        <v>2790</v>
      </c>
      <c r="Q16" s="433" t="s">
        <v>2795</v>
      </c>
    </row>
    <row r="17" spans="6:17" ht="13.5" thickBot="1" x14ac:dyDescent="0.25">
      <c r="G17" s="797"/>
      <c r="H17" s="306" t="s">
        <v>2989</v>
      </c>
      <c r="I17" s="318" t="s">
        <v>2883</v>
      </c>
      <c r="J17" s="316" t="s">
        <v>3171</v>
      </c>
      <c r="K17" s="314" t="str">
        <f>VLOOKUP(J17,LINGUA!$B$523:$C$532,2,0)</f>
        <v>Reverse osmosis system 60 l / h - 230V 60Hz - for steel</v>
      </c>
      <c r="L17" s="308" t="s">
        <v>2853</v>
      </c>
      <c r="M17" s="301" t="str">
        <f>VLOOKUP(L17,LINGUA!$B$523:$C$542,2,0)</f>
        <v>Kit expansion vessel with hoses and fittings</v>
      </c>
      <c r="O17" s="434" t="s">
        <v>2794</v>
      </c>
      <c r="P17" s="435" t="s">
        <v>2790</v>
      </c>
      <c r="Q17" s="436" t="s">
        <v>2795</v>
      </c>
    </row>
    <row r="18" spans="6:17" x14ac:dyDescent="0.2">
      <c r="G18" s="797"/>
      <c r="H18" s="307" t="s">
        <v>954</v>
      </c>
      <c r="I18" s="318" t="s">
        <v>2991</v>
      </c>
      <c r="J18" s="316" t="s">
        <v>3171</v>
      </c>
      <c r="K18" s="314" t="str">
        <f>VLOOKUP(J18,LINGUA!$B$523:$C$532,2,0)</f>
        <v>Reverse osmosis system 60 l / h - 230V 60Hz - for steel</v>
      </c>
      <c r="L18" s="308" t="s">
        <v>2775</v>
      </c>
      <c r="M18" s="301" t="str">
        <f>VLOOKUP(L18,LINGUA!$B$523:$C$542,2,0)</f>
        <v>AUTOCLAVE 200 Liters (expansion vessel)</v>
      </c>
    </row>
    <row r="19" spans="6:17" x14ac:dyDescent="0.2">
      <c r="G19" s="797"/>
      <c r="H19" s="306" t="s">
        <v>955</v>
      </c>
      <c r="I19" s="318" t="s">
        <v>2991</v>
      </c>
      <c r="J19" s="316" t="s">
        <v>3171</v>
      </c>
      <c r="K19" s="314" t="str">
        <f>VLOOKUP(J19,LINGUA!$B$523:$C$532,2,0)</f>
        <v>Reverse osmosis system 60 l / h - 230V 60Hz - for steel</v>
      </c>
      <c r="L19" s="308" t="s">
        <v>2775</v>
      </c>
      <c r="M19" s="301" t="str">
        <f>VLOOKUP(L19,LINGUA!$B$523:$C$542,2,0)</f>
        <v>AUTOCLAVE 200 Liters (expansion vessel)</v>
      </c>
    </row>
    <row r="20" spans="6:17" x14ac:dyDescent="0.2">
      <c r="G20" s="797"/>
      <c r="H20" s="306" t="s">
        <v>956</v>
      </c>
      <c r="I20" s="318" t="s">
        <v>2991</v>
      </c>
      <c r="J20" s="316" t="s">
        <v>3171</v>
      </c>
      <c r="K20" s="314" t="str">
        <f>VLOOKUP(J20,LINGUA!$B$523:$C$532,2,0)</f>
        <v>Reverse osmosis system 60 l / h - 230V 60Hz - for steel</v>
      </c>
      <c r="L20" s="308" t="s">
        <v>2775</v>
      </c>
      <c r="M20" s="301" t="str">
        <f>VLOOKUP(L20,LINGUA!$B$523:$C$542,2,0)</f>
        <v>AUTOCLAVE 200 Liters (expansion vessel)</v>
      </c>
    </row>
    <row r="21" spans="6:17" x14ac:dyDescent="0.2">
      <c r="F21" s="290" t="str">
        <f>MID(DESIGN!F110,1,2)</f>
        <v>UR</v>
      </c>
      <c r="G21" s="797"/>
      <c r="H21" s="306" t="s">
        <v>2990</v>
      </c>
      <c r="I21" s="318" t="s">
        <v>2991</v>
      </c>
      <c r="J21" s="316" t="s">
        <v>3171</v>
      </c>
      <c r="K21" s="314" t="str">
        <f>VLOOKUP(J21,LINGUA!$B$523:$C$532,2,0)</f>
        <v>Reverse osmosis system 60 l / h - 230V 60Hz - for steel</v>
      </c>
      <c r="L21" s="310" t="s">
        <v>2797</v>
      </c>
      <c r="M21" s="301" t="str">
        <f>VLOOKUP(L21,LINGUA!$B$523:$C$542,2,0)</f>
        <v>AUTOCLAVE 300 Liters (expansion vessel)</v>
      </c>
    </row>
    <row r="22" spans="6:17" ht="13.9" customHeight="1" x14ac:dyDescent="0.2">
      <c r="F22" s="293" t="str">
        <f>MID(DESIGN!F110,1,5)</f>
        <v>UR080</v>
      </c>
      <c r="G22" s="797"/>
      <c r="H22" s="306" t="s">
        <v>957</v>
      </c>
      <c r="I22" s="318" t="s">
        <v>2991</v>
      </c>
      <c r="J22" s="316" t="s">
        <v>3171</v>
      </c>
      <c r="K22" s="314" t="str">
        <f>VLOOKUP(J22,LINGUA!$B$523:$C$532,2,0)</f>
        <v>Reverse osmosis system 60 l / h - 230V 60Hz - for steel</v>
      </c>
      <c r="L22" s="310" t="s">
        <v>2797</v>
      </c>
      <c r="M22" s="301" t="str">
        <f>VLOOKUP(L22,LINGUA!$B$523:$C$542,2,0)</f>
        <v>AUTOCLAVE 300 Liters (expansion vessel)</v>
      </c>
    </row>
    <row r="23" spans="6:17" ht="13.9" customHeight="1" x14ac:dyDescent="0.2">
      <c r="F23" s="293"/>
      <c r="G23" s="798"/>
      <c r="H23" s="306" t="s">
        <v>2993</v>
      </c>
      <c r="I23" s="307" t="s">
        <v>2992</v>
      </c>
      <c r="J23" s="308" t="s">
        <v>2773</v>
      </c>
      <c r="K23" s="314" t="str">
        <f>VLOOKUP(J23,LINGUA!$B$523:$C$532,2,0)</f>
        <v>Reverse osmosis system 100 l / h - 230V 60Hz - for steel</v>
      </c>
      <c r="L23" s="310" t="s">
        <v>2797</v>
      </c>
      <c r="M23" s="301" t="str">
        <f>VLOOKUP(L23,LINGUA!$B$523:$C$542,2,0)</f>
        <v>AUTOCLAVE 300 Liters (expansion vessel)</v>
      </c>
    </row>
    <row r="26" spans="6:17" x14ac:dyDescent="0.2">
      <c r="H26" s="295" t="s">
        <v>2806</v>
      </c>
      <c r="I26" s="291"/>
      <c r="J26" s="295" t="s">
        <v>2807</v>
      </c>
      <c r="K26" s="295" t="s">
        <v>2808</v>
      </c>
      <c r="L26" s="295" t="s">
        <v>2809</v>
      </c>
      <c r="M26" s="295" t="s">
        <v>2810</v>
      </c>
    </row>
    <row r="27" spans="6:17" x14ac:dyDescent="0.2">
      <c r="G27" s="795">
        <v>50</v>
      </c>
      <c r="H27" s="292" t="s">
        <v>2728</v>
      </c>
      <c r="I27" s="291"/>
      <c r="J27" s="297" t="s">
        <v>2815</v>
      </c>
      <c r="K27" s="297" t="str">
        <f>LINGUA!C523</f>
        <v>Reverse osmosis system 100 l / h - 230V 50Hz - for steel</v>
      </c>
      <c r="L27" s="298" t="s">
        <v>2775</v>
      </c>
      <c r="M27" s="298" t="str">
        <f>VLOOKUP(J27,LINGUA!$B$523:$C$532,2,0)</f>
        <v>Reverse osmosis system 100 l / h - 230V 50Hz - for steel</v>
      </c>
    </row>
    <row r="28" spans="6:17" x14ac:dyDescent="0.2">
      <c r="G28" s="795"/>
      <c r="H28" s="300" t="s">
        <v>2729</v>
      </c>
      <c r="I28" s="291"/>
      <c r="J28" s="297" t="s">
        <v>2815</v>
      </c>
      <c r="K28" s="297" t="str">
        <f>LINGUA!C523</f>
        <v>Reverse osmosis system 100 l / h - 230V 50Hz - for steel</v>
      </c>
      <c r="L28" s="298" t="s">
        <v>2775</v>
      </c>
      <c r="M28" s="298" t="str">
        <f>VLOOKUP(J28,LINGUA!$B$523:$C$532,2,0)</f>
        <v>Reverse osmosis system 100 l / h - 230V 50Hz - for steel</v>
      </c>
    </row>
    <row r="29" spans="6:17" x14ac:dyDescent="0.2">
      <c r="G29" s="795"/>
      <c r="H29" s="300" t="s">
        <v>2730</v>
      </c>
      <c r="I29" s="291"/>
      <c r="J29" s="297" t="s">
        <v>2816</v>
      </c>
      <c r="K29" s="297" t="str">
        <f>LINGUA!C525</f>
        <v>Reverse osmosis system 320 l / h - 230V 50Hz - for steel</v>
      </c>
      <c r="L29" s="298" t="s">
        <v>2775</v>
      </c>
      <c r="M29" s="298" t="str">
        <f>VLOOKUP(J29,LINGUA!$B$523:$C$532,2,0)</f>
        <v>Reverse osmosis system 320 l / h - 230V 50Hz - for steel</v>
      </c>
    </row>
    <row r="30" spans="6:17" x14ac:dyDescent="0.2">
      <c r="G30" s="802">
        <v>60</v>
      </c>
      <c r="H30" s="292" t="s">
        <v>2731</v>
      </c>
      <c r="I30" s="291"/>
      <c r="J30" s="297" t="s">
        <v>2773</v>
      </c>
      <c r="K30" s="297" t="str">
        <f>LINGUA!C524</f>
        <v>Reverse osmosis system 100 l / h - 230V 60Hz - for steel</v>
      </c>
      <c r="L30" s="298" t="s">
        <v>2775</v>
      </c>
      <c r="M30" s="298" t="str">
        <f>VLOOKUP(J30,LINGUA!$B$523:$C$532,2,0)</f>
        <v>Reverse osmosis system 100 l / h - 230V 60Hz - for steel</v>
      </c>
    </row>
    <row r="31" spans="6:17" x14ac:dyDescent="0.2">
      <c r="G31" s="802"/>
      <c r="H31" s="300" t="s">
        <v>2732</v>
      </c>
      <c r="I31" s="291"/>
      <c r="J31" s="297" t="s">
        <v>2773</v>
      </c>
      <c r="K31" s="297" t="str">
        <f>LINGUA!C524</f>
        <v>Reverse osmosis system 100 l / h - 230V 60Hz - for steel</v>
      </c>
      <c r="L31" s="298" t="s">
        <v>2775</v>
      </c>
      <c r="M31" s="298" t="str">
        <f>VLOOKUP(J31,LINGUA!$B$523:$C$532,2,0)</f>
        <v>Reverse osmosis system 100 l / h - 230V 60Hz - for steel</v>
      </c>
    </row>
    <row r="32" spans="6:17" x14ac:dyDescent="0.2">
      <c r="G32" s="802"/>
      <c r="H32" s="300" t="s">
        <v>2733</v>
      </c>
      <c r="I32" s="291"/>
      <c r="J32" s="297" t="s">
        <v>2774</v>
      </c>
      <c r="K32" s="297" t="str">
        <f>LINGUA!C526</f>
        <v>Reverse osmosis system 320 l / h - 230V 60Hz - for steel</v>
      </c>
      <c r="L32" s="298" t="s">
        <v>2775</v>
      </c>
      <c r="M32" s="298" t="str">
        <f>VLOOKUP(J32,LINGUA!$B$523:$C$532,2,0)</f>
        <v>Reverse osmosis system 320 l / h - 230V 60Hz - for steel</v>
      </c>
    </row>
    <row r="35" spans="10:11" x14ac:dyDescent="0.2">
      <c r="J35" s="294" t="s">
        <v>2798</v>
      </c>
      <c r="K35" t="str">
        <f>LINGUA!C528</f>
        <v>Reverse osmosis system 60 l / h - 230V 60Hz - for steel</v>
      </c>
    </row>
    <row r="36" spans="10:11" x14ac:dyDescent="0.2">
      <c r="J36" s="294" t="s">
        <v>2799</v>
      </c>
      <c r="K36" t="str">
        <f>LINGUA!C529</f>
        <v>WTS compact 25 KG/H with pump</v>
      </c>
    </row>
  </sheetData>
  <mergeCells count="9">
    <mergeCell ref="A2:A3"/>
    <mergeCell ref="O2:O3"/>
    <mergeCell ref="P2:P3"/>
    <mergeCell ref="Q2:Q3"/>
    <mergeCell ref="G27:G29"/>
    <mergeCell ref="G13:G23"/>
    <mergeCell ref="G2:G12"/>
    <mergeCell ref="G30:G32"/>
    <mergeCell ref="C2:D2"/>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oglio12"/>
  <dimension ref="A1:BA121"/>
  <sheetViews>
    <sheetView zoomScale="85" zoomScaleNormal="85" workbookViewId="0">
      <selection activeCell="O23" sqref="O23"/>
    </sheetView>
  </sheetViews>
  <sheetFormatPr defaultRowHeight="12.75" x14ac:dyDescent="0.2"/>
  <cols>
    <col min="2" max="2" width="8.85546875" customWidth="1"/>
    <col min="3" max="3" width="5.140625" bestFit="1" customWidth="1"/>
    <col min="4" max="4" width="12.140625" bestFit="1" customWidth="1"/>
    <col min="5" max="5" width="15.140625" customWidth="1"/>
    <col min="6" max="6" width="14.42578125" customWidth="1"/>
    <col min="7" max="7" width="12.85546875" bestFit="1" customWidth="1"/>
    <col min="8" max="8" width="13.28515625" bestFit="1" customWidth="1"/>
    <col min="9" max="9" width="22.140625" customWidth="1"/>
    <col min="10" max="10" width="20.5703125" bestFit="1" customWidth="1"/>
    <col min="11" max="11" width="19.140625" bestFit="1" customWidth="1"/>
    <col min="12" max="12" width="19.7109375" bestFit="1" customWidth="1"/>
    <col min="13" max="13" width="12.85546875" customWidth="1"/>
    <col min="14" max="14" width="12.7109375" bestFit="1" customWidth="1"/>
    <col min="15" max="15" width="13.28515625" style="328" customWidth="1"/>
    <col min="16" max="16" width="13.28515625" customWidth="1"/>
    <col min="17" max="17" width="2" customWidth="1"/>
    <col min="18" max="18" width="12.7109375" customWidth="1"/>
    <col min="19" max="19" width="14.7109375" style="290" bestFit="1" customWidth="1"/>
    <col min="20" max="20" width="18.28515625" customWidth="1"/>
    <col min="21" max="21" width="8.7109375" bestFit="1" customWidth="1"/>
    <col min="22" max="22" width="17.42578125" customWidth="1"/>
    <col min="24" max="24" width="19.28515625" bestFit="1" customWidth="1"/>
    <col min="29" max="29" width="10.85546875" bestFit="1" customWidth="1"/>
    <col min="30" max="30" width="11.85546875" bestFit="1" customWidth="1"/>
  </cols>
  <sheetData>
    <row r="1" spans="1:53" ht="13.5" thickBot="1" x14ac:dyDescent="0.25">
      <c r="A1" t="s">
        <v>2922</v>
      </c>
      <c r="B1" t="s">
        <v>2922</v>
      </c>
      <c r="E1" t="s">
        <v>2921</v>
      </c>
      <c r="F1" t="s">
        <v>2921</v>
      </c>
      <c r="G1" t="s">
        <v>2923</v>
      </c>
      <c r="H1" t="s">
        <v>2924</v>
      </c>
      <c r="I1" s="329" t="s">
        <v>2936</v>
      </c>
      <c r="J1" s="326" t="s">
        <v>2928</v>
      </c>
      <c r="K1" s="326" t="s">
        <v>2925</v>
      </c>
      <c r="L1" s="326" t="s">
        <v>2926</v>
      </c>
      <c r="M1" s="329" t="s">
        <v>2936</v>
      </c>
      <c r="N1" t="s">
        <v>2927</v>
      </c>
      <c r="O1" s="327" t="s">
        <v>2931</v>
      </c>
      <c r="P1" s="294"/>
      <c r="Q1" s="294"/>
      <c r="R1" s="327" t="s">
        <v>2931</v>
      </c>
      <c r="S1" s="324" t="s">
        <v>2934</v>
      </c>
      <c r="T1" s="294" t="s">
        <v>2940</v>
      </c>
      <c r="U1" s="294" t="s">
        <v>2941</v>
      </c>
      <c r="V1" s="294"/>
      <c r="X1" t="str">
        <f>MID(DESIGN!F110,1,5)</f>
        <v>UR080</v>
      </c>
      <c r="Y1" s="325">
        <f>IF(AND(X1=Y12,DESIGN!D98=DP!Z12),2, HLOOKUP(X1,X4:BA6,3,0))</f>
        <v>2</v>
      </c>
      <c r="AA1">
        <f>HLOOKUP(X1,Y56:BA57,2,0)</f>
        <v>80</v>
      </c>
      <c r="AC1">
        <v>40</v>
      </c>
      <c r="AD1">
        <v>30</v>
      </c>
    </row>
    <row r="2" spans="1:53" ht="14.25" thickTop="1" thickBot="1" x14ac:dyDescent="0.25">
      <c r="A2">
        <f>M2*J2*K2*L2*C2</f>
        <v>0</v>
      </c>
      <c r="B2">
        <f>J2*K2*L2*M2</f>
        <v>0</v>
      </c>
      <c r="C2">
        <v>1</v>
      </c>
      <c r="D2" s="330" t="s">
        <v>248</v>
      </c>
      <c r="E2" s="331">
        <v>835</v>
      </c>
      <c r="F2" s="331">
        <v>850</v>
      </c>
      <c r="G2" s="331">
        <v>9</v>
      </c>
      <c r="H2" s="332">
        <v>22</v>
      </c>
      <c r="I2" s="333">
        <v>1.5</v>
      </c>
      <c r="J2" s="333">
        <f>IF($X$2=H2,1,0)</f>
        <v>0</v>
      </c>
      <c r="K2" s="333">
        <f>IF(F2&lt;=DESIGN!$E$75,1,0)</f>
        <v>1</v>
      </c>
      <c r="L2" s="333">
        <f>IF($AA$1&lt;=G2,1,0)</f>
        <v>0</v>
      </c>
      <c r="M2" s="334">
        <f>IF(I2&gt;$AA$1,0,1)</f>
        <v>1</v>
      </c>
      <c r="N2">
        <v>1</v>
      </c>
      <c r="T2" t="str">
        <f>IF(S2=0,"",S2)</f>
        <v/>
      </c>
      <c r="U2">
        <f t="shared" ref="U2:U33" si="0">N2/$Y$1</f>
        <v>0.5</v>
      </c>
      <c r="W2" s="294" t="s">
        <v>2930</v>
      </c>
      <c r="X2">
        <f>HLOOKUP(X1,Y4:BA5,2,0)</f>
        <v>40</v>
      </c>
      <c r="AC2" s="294" t="s">
        <v>1413</v>
      </c>
      <c r="AD2" s="294" t="s">
        <v>847</v>
      </c>
      <c r="AE2" s="294" t="s">
        <v>625</v>
      </c>
    </row>
    <row r="3" spans="1:53" ht="14.25" thickTop="1" thickBot="1" x14ac:dyDescent="0.25">
      <c r="A3">
        <f t="shared" ref="A3:A64" si="1">M3*J3*K3*L3*C3</f>
        <v>0</v>
      </c>
      <c r="B3">
        <f t="shared" ref="B3:B64" si="2">J3*K3*L3*M3</f>
        <v>0</v>
      </c>
      <c r="C3">
        <v>1</v>
      </c>
      <c r="D3" s="335" t="s">
        <v>247</v>
      </c>
      <c r="E3" s="336">
        <v>597</v>
      </c>
      <c r="F3" s="336">
        <v>600</v>
      </c>
      <c r="G3" s="336">
        <v>9</v>
      </c>
      <c r="H3" s="337">
        <v>22</v>
      </c>
      <c r="I3" s="338">
        <v>1.5</v>
      </c>
      <c r="J3" s="338">
        <f t="shared" ref="J3:J17" si="3">IF($X$2=H3,1,0)</f>
        <v>0</v>
      </c>
      <c r="K3" s="338">
        <f>IF(F3&lt;=DESIGN!$E$75,1,0)</f>
        <v>1</v>
      </c>
      <c r="L3" s="338">
        <f>IF($AA$1&lt;=G3,1,0)</f>
        <v>0</v>
      </c>
      <c r="M3" s="339">
        <f>IF(I3&gt;$AA$1,0,1)</f>
        <v>1</v>
      </c>
      <c r="N3">
        <v>1</v>
      </c>
      <c r="T3" t="str">
        <f t="shared" ref="T3:T64" si="4">IF(S3=0,"",S3)</f>
        <v/>
      </c>
      <c r="U3">
        <f t="shared" si="0"/>
        <v>0.5</v>
      </c>
    </row>
    <row r="4" spans="1:53" ht="14.25" thickTop="1" thickBot="1" x14ac:dyDescent="0.25">
      <c r="A4">
        <f t="shared" si="1"/>
        <v>0</v>
      </c>
      <c r="B4">
        <f t="shared" si="2"/>
        <v>0</v>
      </c>
      <c r="C4">
        <v>1</v>
      </c>
      <c r="D4" s="335" t="s">
        <v>246</v>
      </c>
      <c r="E4" s="336">
        <v>438</v>
      </c>
      <c r="F4" s="336">
        <v>450</v>
      </c>
      <c r="G4" s="336">
        <v>6</v>
      </c>
      <c r="H4" s="337">
        <v>22</v>
      </c>
      <c r="I4" s="338">
        <v>1.5</v>
      </c>
      <c r="J4" s="338">
        <f t="shared" si="3"/>
        <v>0</v>
      </c>
      <c r="K4" s="338">
        <f>IF(F4&lt;=DESIGN!$E$75,1,0)</f>
        <v>1</v>
      </c>
      <c r="L4" s="338">
        <f t="shared" ref="L4:L22" si="5">IF($AA$1&lt;=G4,1,0)</f>
        <v>0</v>
      </c>
      <c r="M4" s="339">
        <f t="shared" ref="M4:M63" si="6">IF(I4&gt;$AA$1,0,1)</f>
        <v>1</v>
      </c>
      <c r="N4">
        <v>1</v>
      </c>
      <c r="T4" t="str">
        <f t="shared" si="4"/>
        <v/>
      </c>
      <c r="U4">
        <f t="shared" si="0"/>
        <v>0.5</v>
      </c>
      <c r="Y4" s="322" t="s">
        <v>936</v>
      </c>
      <c r="Z4" s="322" t="s">
        <v>937</v>
      </c>
      <c r="AA4" s="322" t="s">
        <v>938</v>
      </c>
      <c r="AB4" s="322" t="s">
        <v>939</v>
      </c>
      <c r="AC4" s="50" t="s">
        <v>940</v>
      </c>
      <c r="AD4" s="50" t="s">
        <v>941</v>
      </c>
      <c r="AE4" s="50" t="s">
        <v>942</v>
      </c>
      <c r="AF4" s="50" t="s">
        <v>2072</v>
      </c>
      <c r="AG4" s="50" t="s">
        <v>943</v>
      </c>
      <c r="AH4" s="50" t="s">
        <v>944</v>
      </c>
      <c r="AI4" s="50"/>
      <c r="AJ4" s="323" t="s">
        <v>945</v>
      </c>
      <c r="AK4" s="322" t="s">
        <v>946</v>
      </c>
      <c r="AL4" s="50" t="s">
        <v>947</v>
      </c>
      <c r="AM4" s="50" t="s">
        <v>948</v>
      </c>
      <c r="AN4" s="50" t="s">
        <v>950</v>
      </c>
      <c r="AO4" s="50" t="s">
        <v>951</v>
      </c>
      <c r="AP4" s="50" t="s">
        <v>952</v>
      </c>
      <c r="AQ4" s="50" t="s">
        <v>953</v>
      </c>
      <c r="AR4" s="322" t="s">
        <v>2989</v>
      </c>
      <c r="AS4" s="50" t="s">
        <v>954</v>
      </c>
      <c r="AT4" s="50" t="s">
        <v>955</v>
      </c>
      <c r="AU4" s="50" t="s">
        <v>956</v>
      </c>
      <c r="AV4" s="322" t="s">
        <v>2990</v>
      </c>
      <c r="AW4" s="322" t="s">
        <v>957</v>
      </c>
      <c r="AX4" s="322" t="s">
        <v>2993</v>
      </c>
      <c r="AY4" s="50" t="s">
        <v>2123</v>
      </c>
      <c r="AZ4" s="50" t="s">
        <v>2134</v>
      </c>
      <c r="BA4" s="50" t="s">
        <v>2135</v>
      </c>
    </row>
    <row r="5" spans="1:53" ht="14.25" thickTop="1" thickBot="1" x14ac:dyDescent="0.25">
      <c r="A5">
        <f t="shared" si="1"/>
        <v>0</v>
      </c>
      <c r="B5">
        <f t="shared" si="2"/>
        <v>0</v>
      </c>
      <c r="C5">
        <v>1</v>
      </c>
      <c r="D5" s="335" t="s">
        <v>245</v>
      </c>
      <c r="E5" s="336">
        <v>332</v>
      </c>
      <c r="F5" s="336">
        <v>350</v>
      </c>
      <c r="G5" s="336">
        <v>4</v>
      </c>
      <c r="H5" s="337">
        <v>22</v>
      </c>
      <c r="I5" s="338">
        <v>1.5</v>
      </c>
      <c r="J5" s="338">
        <f t="shared" si="3"/>
        <v>0</v>
      </c>
      <c r="K5" s="338">
        <f>IF(F5&lt;=DESIGN!$E$75,1,0)</f>
        <v>1</v>
      </c>
      <c r="L5" s="338">
        <f t="shared" si="5"/>
        <v>0</v>
      </c>
      <c r="M5" s="339">
        <f t="shared" si="6"/>
        <v>1</v>
      </c>
      <c r="N5">
        <v>1</v>
      </c>
      <c r="T5" t="str">
        <f t="shared" si="4"/>
        <v/>
      </c>
      <c r="U5">
        <f t="shared" si="0"/>
        <v>0.5</v>
      </c>
      <c r="X5" t="s">
        <v>2929</v>
      </c>
      <c r="Y5">
        <v>22</v>
      </c>
      <c r="Z5">
        <v>22</v>
      </c>
      <c r="AA5">
        <v>30</v>
      </c>
      <c r="AB5">
        <v>30</v>
      </c>
      <c r="AC5">
        <v>30</v>
      </c>
      <c r="AD5">
        <v>30</v>
      </c>
      <c r="AE5">
        <v>30</v>
      </c>
      <c r="AF5">
        <v>30</v>
      </c>
      <c r="AG5">
        <v>40</v>
      </c>
      <c r="AH5">
        <v>40</v>
      </c>
      <c r="AJ5">
        <v>40</v>
      </c>
      <c r="AN5">
        <v>30</v>
      </c>
      <c r="AO5">
        <v>30</v>
      </c>
      <c r="AP5">
        <v>30</v>
      </c>
      <c r="AQ5">
        <v>30</v>
      </c>
      <c r="AR5">
        <v>30</v>
      </c>
      <c r="AS5">
        <v>40</v>
      </c>
      <c r="AT5">
        <v>40</v>
      </c>
      <c r="AU5">
        <v>40</v>
      </c>
      <c r="AV5">
        <v>40</v>
      </c>
      <c r="AX5">
        <v>40</v>
      </c>
    </row>
    <row r="6" spans="1:53" ht="14.25" thickTop="1" thickBot="1" x14ac:dyDescent="0.25">
      <c r="A6">
        <f t="shared" si="1"/>
        <v>0</v>
      </c>
      <c r="B6">
        <f t="shared" si="2"/>
        <v>0</v>
      </c>
      <c r="C6">
        <v>1</v>
      </c>
      <c r="D6" s="340" t="s">
        <v>1219</v>
      </c>
      <c r="E6" s="336">
        <v>1640</v>
      </c>
      <c r="F6" s="336">
        <v>1650</v>
      </c>
      <c r="G6" s="336">
        <v>18</v>
      </c>
      <c r="H6" s="337">
        <v>30</v>
      </c>
      <c r="I6" s="338">
        <v>10</v>
      </c>
      <c r="J6" s="338">
        <f t="shared" si="3"/>
        <v>0</v>
      </c>
      <c r="K6" s="338">
        <f>IF(F6&lt;=DESIGN!$E$75,1,0)</f>
        <v>0</v>
      </c>
      <c r="L6" s="338">
        <f t="shared" si="5"/>
        <v>0</v>
      </c>
      <c r="M6" s="339">
        <f t="shared" si="6"/>
        <v>1</v>
      </c>
      <c r="N6">
        <v>1</v>
      </c>
      <c r="T6" t="str">
        <f t="shared" si="4"/>
        <v/>
      </c>
      <c r="U6">
        <f t="shared" si="0"/>
        <v>0.5</v>
      </c>
      <c r="X6" s="294" t="s">
        <v>2933</v>
      </c>
      <c r="Y6">
        <v>1</v>
      </c>
      <c r="Z6">
        <v>1</v>
      </c>
      <c r="AA6">
        <v>1</v>
      </c>
      <c r="AB6">
        <v>1</v>
      </c>
      <c r="AC6">
        <v>1</v>
      </c>
      <c r="AD6">
        <v>1</v>
      </c>
      <c r="AE6">
        <v>1</v>
      </c>
      <c r="AF6">
        <v>1</v>
      </c>
      <c r="AG6">
        <v>1</v>
      </c>
      <c r="AH6">
        <v>1</v>
      </c>
      <c r="AJ6">
        <v>1</v>
      </c>
      <c r="AK6">
        <v>2</v>
      </c>
      <c r="AL6">
        <v>2</v>
      </c>
      <c r="AM6">
        <v>4</v>
      </c>
      <c r="AN6">
        <v>1</v>
      </c>
      <c r="AO6">
        <v>1</v>
      </c>
      <c r="AP6">
        <v>1</v>
      </c>
      <c r="AQ6">
        <v>1</v>
      </c>
      <c r="AR6">
        <v>1</v>
      </c>
      <c r="AS6">
        <v>1</v>
      </c>
      <c r="AT6">
        <v>1</v>
      </c>
      <c r="AU6">
        <v>1</v>
      </c>
      <c r="AV6">
        <v>2</v>
      </c>
      <c r="AW6">
        <v>2</v>
      </c>
      <c r="AX6">
        <v>2</v>
      </c>
      <c r="AY6">
        <v>2</v>
      </c>
      <c r="AZ6">
        <v>2</v>
      </c>
      <c r="BA6">
        <v>4</v>
      </c>
    </row>
    <row r="7" spans="1:53" ht="14.25" thickTop="1" thickBot="1" x14ac:dyDescent="0.25">
      <c r="A7">
        <f t="shared" si="1"/>
        <v>0</v>
      </c>
      <c r="B7">
        <f t="shared" si="2"/>
        <v>0</v>
      </c>
      <c r="C7">
        <v>1</v>
      </c>
      <c r="D7" s="340" t="s">
        <v>254</v>
      </c>
      <c r="E7" s="336">
        <v>1245</v>
      </c>
      <c r="F7" s="336">
        <v>1250</v>
      </c>
      <c r="G7" s="336">
        <v>18</v>
      </c>
      <c r="H7" s="337">
        <v>30</v>
      </c>
      <c r="I7" s="338">
        <v>5</v>
      </c>
      <c r="J7" s="338">
        <f t="shared" si="3"/>
        <v>0</v>
      </c>
      <c r="K7" s="338">
        <f>IF(F7&lt;=DESIGN!$E$75,1,0)</f>
        <v>0</v>
      </c>
      <c r="L7" s="338">
        <f t="shared" si="5"/>
        <v>0</v>
      </c>
      <c r="M7" s="339">
        <f t="shared" si="6"/>
        <v>1</v>
      </c>
      <c r="N7">
        <v>1</v>
      </c>
      <c r="T7" t="str">
        <f t="shared" si="4"/>
        <v/>
      </c>
      <c r="U7">
        <f t="shared" si="0"/>
        <v>0.5</v>
      </c>
      <c r="AJ7">
        <v>2</v>
      </c>
    </row>
    <row r="8" spans="1:53" ht="14.25" thickTop="1" thickBot="1" x14ac:dyDescent="0.25">
      <c r="A8">
        <f t="shared" si="1"/>
        <v>0</v>
      </c>
      <c r="B8">
        <f t="shared" si="2"/>
        <v>0</v>
      </c>
      <c r="C8">
        <v>1</v>
      </c>
      <c r="D8" s="340" t="s">
        <v>253</v>
      </c>
      <c r="E8" s="336">
        <v>1048</v>
      </c>
      <c r="F8" s="336">
        <v>1050</v>
      </c>
      <c r="G8" s="336">
        <v>18</v>
      </c>
      <c r="H8" s="337">
        <v>30</v>
      </c>
      <c r="I8" s="338">
        <v>5</v>
      </c>
      <c r="J8" s="338">
        <f t="shared" si="3"/>
        <v>0</v>
      </c>
      <c r="K8" s="338">
        <f>IF(F8&lt;=DESIGN!$E$75,1,0)</f>
        <v>1</v>
      </c>
      <c r="L8" s="338">
        <f t="shared" si="5"/>
        <v>0</v>
      </c>
      <c r="M8" s="339">
        <f t="shared" si="6"/>
        <v>1</v>
      </c>
      <c r="N8">
        <v>1</v>
      </c>
      <c r="T8" t="str">
        <f t="shared" si="4"/>
        <v/>
      </c>
      <c r="U8">
        <f t="shared" si="0"/>
        <v>0.5</v>
      </c>
      <c r="X8" s="370"/>
      <c r="Y8" s="370"/>
      <c r="Z8" s="370"/>
      <c r="AA8" s="370"/>
      <c r="AB8" s="370"/>
      <c r="AC8" s="370"/>
      <c r="AD8" s="370"/>
      <c r="AE8" s="370"/>
      <c r="AF8" s="370"/>
      <c r="AG8" s="370"/>
      <c r="AH8" s="370"/>
      <c r="AI8" s="370"/>
      <c r="AJ8" s="370"/>
    </row>
    <row r="9" spans="1:53" ht="14.25" thickTop="1" thickBot="1" x14ac:dyDescent="0.25">
      <c r="A9">
        <f t="shared" si="1"/>
        <v>0</v>
      </c>
      <c r="B9">
        <f t="shared" si="2"/>
        <v>0</v>
      </c>
      <c r="C9">
        <v>1</v>
      </c>
      <c r="D9" s="340" t="s">
        <v>252</v>
      </c>
      <c r="E9" s="336">
        <v>850</v>
      </c>
      <c r="F9" s="336">
        <v>850</v>
      </c>
      <c r="G9" s="336">
        <v>18</v>
      </c>
      <c r="H9" s="337">
        <v>30</v>
      </c>
      <c r="I9" s="338">
        <v>5</v>
      </c>
      <c r="J9" s="338">
        <f t="shared" si="3"/>
        <v>0</v>
      </c>
      <c r="K9" s="338">
        <f>IF(F9&lt;=DESIGN!$E$75,1,0)</f>
        <v>1</v>
      </c>
      <c r="L9" s="338">
        <f t="shared" si="5"/>
        <v>0</v>
      </c>
      <c r="M9" s="339">
        <f t="shared" si="6"/>
        <v>1</v>
      </c>
      <c r="N9">
        <v>1</v>
      </c>
      <c r="T9" t="str">
        <f t="shared" si="4"/>
        <v/>
      </c>
      <c r="U9">
        <f t="shared" si="0"/>
        <v>0.5</v>
      </c>
      <c r="X9" s="370"/>
      <c r="Y9" s="371" t="s">
        <v>2937</v>
      </c>
      <c r="Z9" s="370"/>
      <c r="AA9" s="370"/>
      <c r="AB9" s="370"/>
      <c r="AC9" s="370"/>
      <c r="AD9" s="370"/>
      <c r="AE9" s="370"/>
      <c r="AF9" s="370"/>
      <c r="AG9" s="370"/>
      <c r="AH9" s="370"/>
      <c r="AI9" s="370"/>
      <c r="AJ9" s="370"/>
    </row>
    <row r="10" spans="1:53" ht="14.25" thickTop="1" thickBot="1" x14ac:dyDescent="0.25">
      <c r="A10">
        <f t="shared" si="1"/>
        <v>0</v>
      </c>
      <c r="B10">
        <f t="shared" si="2"/>
        <v>0</v>
      </c>
      <c r="C10">
        <v>1</v>
      </c>
      <c r="D10" s="340" t="s">
        <v>251</v>
      </c>
      <c r="E10" s="336">
        <v>596</v>
      </c>
      <c r="F10" s="336">
        <v>600</v>
      </c>
      <c r="G10" s="336">
        <v>12</v>
      </c>
      <c r="H10" s="337">
        <v>30</v>
      </c>
      <c r="I10" s="338">
        <v>5</v>
      </c>
      <c r="J10" s="338">
        <f t="shared" si="3"/>
        <v>0</v>
      </c>
      <c r="K10" s="338">
        <f>IF(F10&lt;=DESIGN!$E$75,1,0)</f>
        <v>1</v>
      </c>
      <c r="L10" s="338">
        <f t="shared" si="5"/>
        <v>0</v>
      </c>
      <c r="M10" s="339">
        <f t="shared" si="6"/>
        <v>1</v>
      </c>
      <c r="N10">
        <v>1</v>
      </c>
      <c r="T10" t="str">
        <f t="shared" si="4"/>
        <v/>
      </c>
      <c r="U10">
        <f t="shared" si="0"/>
        <v>0.5</v>
      </c>
      <c r="X10" s="370"/>
      <c r="Y10" s="372" t="s">
        <v>944</v>
      </c>
      <c r="Z10" s="371" t="s">
        <v>2939</v>
      </c>
      <c r="AA10" s="370"/>
      <c r="AB10" s="370"/>
      <c r="AC10" s="370"/>
      <c r="AD10" s="370"/>
      <c r="AE10" s="370"/>
      <c r="AF10" s="370"/>
      <c r="AG10" s="370"/>
      <c r="AH10" s="370"/>
      <c r="AI10" s="370"/>
      <c r="AJ10" s="370"/>
    </row>
    <row r="11" spans="1:53" ht="14.25" thickTop="1" thickBot="1" x14ac:dyDescent="0.25">
      <c r="A11">
        <f t="shared" si="1"/>
        <v>0</v>
      </c>
      <c r="B11">
        <f t="shared" si="2"/>
        <v>0</v>
      </c>
      <c r="C11">
        <v>1</v>
      </c>
      <c r="D11" s="340" t="s">
        <v>250</v>
      </c>
      <c r="E11" s="336">
        <v>427</v>
      </c>
      <c r="F11" s="336">
        <v>450</v>
      </c>
      <c r="G11" s="336">
        <v>8</v>
      </c>
      <c r="H11" s="337">
        <v>30</v>
      </c>
      <c r="I11" s="338">
        <v>5</v>
      </c>
      <c r="J11" s="338">
        <f t="shared" si="3"/>
        <v>0</v>
      </c>
      <c r="K11" s="338">
        <f>IF(F11&lt;=DESIGN!$E$75,1,0)</f>
        <v>1</v>
      </c>
      <c r="L11" s="338">
        <f t="shared" si="5"/>
        <v>0</v>
      </c>
      <c r="M11" s="339">
        <f t="shared" si="6"/>
        <v>1</v>
      </c>
      <c r="N11">
        <v>1</v>
      </c>
      <c r="T11" t="str">
        <f t="shared" si="4"/>
        <v/>
      </c>
      <c r="U11">
        <f t="shared" si="0"/>
        <v>0.5</v>
      </c>
      <c r="X11" s="370"/>
      <c r="Y11" s="370"/>
      <c r="Z11" s="370"/>
      <c r="AA11" s="370"/>
      <c r="AB11" s="370"/>
      <c r="AC11" s="370"/>
      <c r="AD11" s="370"/>
      <c r="AE11" s="370"/>
      <c r="AF11" s="370"/>
      <c r="AG11" s="370"/>
      <c r="AH11" s="370"/>
      <c r="AI11" s="370"/>
      <c r="AJ11" s="370"/>
    </row>
    <row r="12" spans="1:53" ht="14.25" thickTop="1" thickBot="1" x14ac:dyDescent="0.25">
      <c r="A12">
        <f t="shared" si="1"/>
        <v>0</v>
      </c>
      <c r="B12">
        <f t="shared" si="2"/>
        <v>0</v>
      </c>
      <c r="C12">
        <v>1</v>
      </c>
      <c r="D12" s="340" t="s">
        <v>249</v>
      </c>
      <c r="E12" s="336">
        <v>343</v>
      </c>
      <c r="F12" s="336">
        <v>350</v>
      </c>
      <c r="G12" s="336">
        <v>5</v>
      </c>
      <c r="H12" s="337">
        <v>30</v>
      </c>
      <c r="I12" s="338">
        <v>5</v>
      </c>
      <c r="J12" s="338">
        <f t="shared" si="3"/>
        <v>0</v>
      </c>
      <c r="K12" s="338">
        <f>IF(F12&lt;=DESIGN!$E$75,1,0)</f>
        <v>1</v>
      </c>
      <c r="L12" s="338">
        <f t="shared" si="5"/>
        <v>0</v>
      </c>
      <c r="M12" s="339">
        <f t="shared" si="6"/>
        <v>1</v>
      </c>
      <c r="N12">
        <v>1</v>
      </c>
      <c r="T12" t="str">
        <f t="shared" si="4"/>
        <v/>
      </c>
      <c r="U12">
        <f t="shared" si="0"/>
        <v>0.5</v>
      </c>
      <c r="X12" s="370"/>
      <c r="Y12" s="372" t="s">
        <v>945</v>
      </c>
      <c r="Z12" s="370" t="str">
        <f>DESIGN!D98</f>
        <v>400V, 3phase</v>
      </c>
      <c r="AA12" s="370"/>
      <c r="AB12" s="371" t="s">
        <v>2938</v>
      </c>
      <c r="AC12" s="370"/>
      <c r="AD12" s="370"/>
      <c r="AE12" s="370"/>
      <c r="AF12" s="370"/>
      <c r="AG12" s="370"/>
      <c r="AH12" s="370"/>
      <c r="AI12" s="370"/>
      <c r="AJ12" s="370"/>
    </row>
    <row r="13" spans="1:53" ht="14.25" thickTop="1" thickBot="1" x14ac:dyDescent="0.25">
      <c r="A13">
        <f>M13*J13*K13*L13*C13</f>
        <v>0</v>
      </c>
      <c r="B13">
        <f t="shared" si="2"/>
        <v>0</v>
      </c>
      <c r="C13">
        <v>1</v>
      </c>
      <c r="D13" s="341" t="s">
        <v>243</v>
      </c>
      <c r="E13" s="336">
        <v>2025</v>
      </c>
      <c r="F13" s="336">
        <v>2050</v>
      </c>
      <c r="G13" s="336">
        <v>45</v>
      </c>
      <c r="H13" s="337">
        <v>40</v>
      </c>
      <c r="I13" s="338">
        <v>35</v>
      </c>
      <c r="J13" s="338">
        <f t="shared" si="3"/>
        <v>1</v>
      </c>
      <c r="K13" s="338">
        <f>IF(F13&lt;=DESIGN!$E$75,1,0)</f>
        <v>0</v>
      </c>
      <c r="L13" s="338">
        <f t="shared" si="5"/>
        <v>0</v>
      </c>
      <c r="M13" s="339">
        <f t="shared" si="6"/>
        <v>1</v>
      </c>
      <c r="N13">
        <v>1</v>
      </c>
      <c r="S13" s="290">
        <f>IF(AND($X$1=$Y$12,$Z$12=$Z$13),$AC$2,0)</f>
        <v>0</v>
      </c>
      <c r="T13" t="str">
        <f t="shared" si="4"/>
        <v/>
      </c>
      <c r="U13">
        <f t="shared" si="0"/>
        <v>0.5</v>
      </c>
      <c r="X13" s="370"/>
      <c r="Y13" s="370"/>
      <c r="Z13" s="371" t="s">
        <v>2935</v>
      </c>
      <c r="AA13" s="370"/>
      <c r="AB13" s="370"/>
      <c r="AC13" s="370"/>
      <c r="AD13" s="370"/>
      <c r="AE13" s="370"/>
      <c r="AF13" s="370"/>
      <c r="AG13" s="370"/>
      <c r="AH13" s="370"/>
      <c r="AI13" s="370"/>
      <c r="AJ13" s="370"/>
    </row>
    <row r="14" spans="1:53" ht="14.25" thickTop="1" thickBot="1" x14ac:dyDescent="0.25">
      <c r="A14">
        <f t="shared" si="1"/>
        <v>0</v>
      </c>
      <c r="B14">
        <f t="shared" si="2"/>
        <v>0</v>
      </c>
      <c r="C14">
        <v>1</v>
      </c>
      <c r="D14" s="341" t="s">
        <v>244</v>
      </c>
      <c r="E14" s="336">
        <v>1636</v>
      </c>
      <c r="F14" s="336">
        <v>1650</v>
      </c>
      <c r="G14" s="336">
        <v>45</v>
      </c>
      <c r="H14" s="337">
        <v>40</v>
      </c>
      <c r="I14" s="338">
        <v>35</v>
      </c>
      <c r="J14" s="338">
        <f t="shared" si="3"/>
        <v>1</v>
      </c>
      <c r="K14" s="338">
        <f>IF(F14&lt;=DESIGN!$E$75,1,0)</f>
        <v>0</v>
      </c>
      <c r="L14" s="338">
        <f t="shared" si="5"/>
        <v>0</v>
      </c>
      <c r="M14" s="339">
        <f t="shared" si="6"/>
        <v>1</v>
      </c>
      <c r="N14">
        <v>1</v>
      </c>
      <c r="S14" s="290">
        <f>IF(AND($X$1=$Y$12,$Z$12=$Z$13),$AC$2,0)</f>
        <v>0</v>
      </c>
      <c r="T14" t="str">
        <f t="shared" si="4"/>
        <v/>
      </c>
      <c r="U14">
        <f t="shared" si="0"/>
        <v>0.5</v>
      </c>
      <c r="X14" s="370"/>
      <c r="Y14" s="372" t="s">
        <v>943</v>
      </c>
      <c r="Z14" s="371" t="s">
        <v>2939</v>
      </c>
      <c r="AA14" s="370"/>
      <c r="AB14" s="370"/>
      <c r="AC14" s="370"/>
      <c r="AD14" s="370"/>
      <c r="AE14" s="370"/>
      <c r="AF14" s="370"/>
      <c r="AG14" s="370"/>
      <c r="AH14" s="370"/>
      <c r="AI14" s="370"/>
      <c r="AJ14" s="370"/>
    </row>
    <row r="15" spans="1:53" ht="14.25" thickTop="1" thickBot="1" x14ac:dyDescent="0.25">
      <c r="A15">
        <f t="shared" si="1"/>
        <v>0</v>
      </c>
      <c r="B15">
        <f t="shared" si="2"/>
        <v>0</v>
      </c>
      <c r="C15">
        <v>1</v>
      </c>
      <c r="D15" s="341" t="s">
        <v>257</v>
      </c>
      <c r="E15" s="336">
        <v>1222</v>
      </c>
      <c r="F15" s="336">
        <v>1250</v>
      </c>
      <c r="G15" s="336">
        <v>45</v>
      </c>
      <c r="H15" s="337">
        <v>40</v>
      </c>
      <c r="I15" s="338">
        <v>20</v>
      </c>
      <c r="J15" s="338">
        <f t="shared" si="3"/>
        <v>1</v>
      </c>
      <c r="K15" s="338">
        <f>IF(F15&lt;=DESIGN!$E$75,1,0)</f>
        <v>0</v>
      </c>
      <c r="L15" s="338">
        <f t="shared" si="5"/>
        <v>0</v>
      </c>
      <c r="M15" s="339">
        <f t="shared" si="6"/>
        <v>1</v>
      </c>
      <c r="N15">
        <v>1</v>
      </c>
      <c r="S15" s="290">
        <f>IF(AND($X$1=$Y$12,$Z$12=$Z$13),$AC$2,0)</f>
        <v>0</v>
      </c>
      <c r="T15" t="str">
        <f t="shared" si="4"/>
        <v/>
      </c>
      <c r="U15">
        <f t="shared" si="0"/>
        <v>0.5</v>
      </c>
      <c r="X15" s="370"/>
      <c r="Y15" s="370"/>
      <c r="Z15" s="370"/>
      <c r="AA15" s="370"/>
      <c r="AB15" s="370"/>
      <c r="AC15" s="370"/>
      <c r="AD15" s="370"/>
      <c r="AE15" s="370"/>
      <c r="AF15" s="370"/>
      <c r="AG15" s="370"/>
      <c r="AH15" s="370"/>
      <c r="AI15" s="370"/>
      <c r="AJ15" s="370"/>
    </row>
    <row r="16" spans="1:53" ht="14.25" thickTop="1" thickBot="1" x14ac:dyDescent="0.25">
      <c r="A16">
        <f t="shared" si="1"/>
        <v>0</v>
      </c>
      <c r="B16">
        <f t="shared" si="2"/>
        <v>0</v>
      </c>
      <c r="C16">
        <v>1</v>
      </c>
      <c r="D16" s="341" t="s">
        <v>256</v>
      </c>
      <c r="E16" s="336">
        <v>1015</v>
      </c>
      <c r="F16" s="336">
        <v>1050</v>
      </c>
      <c r="G16" s="336">
        <v>35</v>
      </c>
      <c r="H16" s="337">
        <v>40</v>
      </c>
      <c r="I16" s="338">
        <v>20</v>
      </c>
      <c r="J16" s="338">
        <f t="shared" si="3"/>
        <v>1</v>
      </c>
      <c r="K16" s="338">
        <f>IF(F16&lt;=DESIGN!$E$75,1,0)</f>
        <v>1</v>
      </c>
      <c r="L16" s="338">
        <f t="shared" si="5"/>
        <v>0</v>
      </c>
      <c r="M16" s="339">
        <f t="shared" si="6"/>
        <v>1</v>
      </c>
      <c r="N16">
        <v>1</v>
      </c>
      <c r="T16" t="str">
        <f t="shared" si="4"/>
        <v/>
      </c>
      <c r="U16">
        <f t="shared" si="0"/>
        <v>0.5</v>
      </c>
      <c r="X16" s="370"/>
      <c r="Y16" s="370"/>
      <c r="Z16" s="370"/>
      <c r="AA16" s="370"/>
      <c r="AB16" s="370"/>
      <c r="AC16" s="370"/>
      <c r="AD16" s="370"/>
      <c r="AE16" s="370"/>
      <c r="AF16" s="370"/>
      <c r="AG16" s="370"/>
      <c r="AH16" s="370"/>
      <c r="AI16" s="370"/>
      <c r="AJ16" s="370"/>
    </row>
    <row r="17" spans="1:53" ht="14.25" thickTop="1" thickBot="1" x14ac:dyDescent="0.25">
      <c r="A17">
        <f t="shared" si="1"/>
        <v>0</v>
      </c>
      <c r="B17">
        <f t="shared" si="2"/>
        <v>0</v>
      </c>
      <c r="C17">
        <v>1</v>
      </c>
      <c r="D17" s="341" t="s">
        <v>255</v>
      </c>
      <c r="E17" s="336">
        <v>834</v>
      </c>
      <c r="F17" s="336">
        <v>850</v>
      </c>
      <c r="G17" s="336">
        <v>25</v>
      </c>
      <c r="H17" s="337">
        <v>40</v>
      </c>
      <c r="I17" s="338">
        <v>20</v>
      </c>
      <c r="J17" s="338">
        <f t="shared" si="3"/>
        <v>1</v>
      </c>
      <c r="K17" s="338">
        <f>IF(F17&lt;=DESIGN!$E$75,1,0)</f>
        <v>1</v>
      </c>
      <c r="L17" s="338">
        <f t="shared" si="5"/>
        <v>0</v>
      </c>
      <c r="M17" s="339">
        <f t="shared" si="6"/>
        <v>1</v>
      </c>
      <c r="N17">
        <v>1</v>
      </c>
      <c r="T17" t="str">
        <f t="shared" si="4"/>
        <v/>
      </c>
      <c r="U17">
        <f t="shared" si="0"/>
        <v>0.5</v>
      </c>
    </row>
    <row r="18" spans="1:53" ht="14.25" thickTop="1" thickBot="1" x14ac:dyDescent="0.25">
      <c r="A18">
        <f t="shared" si="1"/>
        <v>0</v>
      </c>
      <c r="B18">
        <f t="shared" si="2"/>
        <v>0</v>
      </c>
      <c r="C18">
        <v>1</v>
      </c>
      <c r="D18" s="385" t="s">
        <v>1220</v>
      </c>
      <c r="E18" s="345">
        <v>600</v>
      </c>
      <c r="F18" s="345">
        <v>625</v>
      </c>
      <c r="G18" s="345">
        <v>45</v>
      </c>
      <c r="H18" s="346">
        <v>40</v>
      </c>
      <c r="I18" s="347">
        <v>5</v>
      </c>
      <c r="J18" s="347">
        <f>IF($X$2=H18,1,0)</f>
        <v>1</v>
      </c>
      <c r="K18" s="347">
        <f>IF(F18&lt;=DESIGN!$E$75,1,0)</f>
        <v>1</v>
      </c>
      <c r="L18" s="338">
        <f t="shared" si="5"/>
        <v>0</v>
      </c>
      <c r="M18" s="339">
        <f t="shared" si="6"/>
        <v>1</v>
      </c>
      <c r="N18">
        <v>1</v>
      </c>
      <c r="S18" s="290">
        <f>IF(AND($X$1=$Y$12,$Z$12=$Z$13),$AC$2,0)</f>
        <v>0</v>
      </c>
      <c r="T18" t="str">
        <f t="shared" si="4"/>
        <v/>
      </c>
      <c r="U18">
        <f t="shared" si="0"/>
        <v>0.5</v>
      </c>
    </row>
    <row r="19" spans="1:53" ht="14.25" thickTop="1" thickBot="1" x14ac:dyDescent="0.25">
      <c r="A19">
        <f t="shared" si="1"/>
        <v>0</v>
      </c>
      <c r="B19">
        <f t="shared" si="2"/>
        <v>0</v>
      </c>
      <c r="C19">
        <v>1</v>
      </c>
      <c r="D19" s="386" t="s">
        <v>1218</v>
      </c>
      <c r="E19" s="342">
        <v>600</v>
      </c>
      <c r="F19" s="342">
        <v>625</v>
      </c>
      <c r="G19" s="342">
        <v>15</v>
      </c>
      <c r="H19" s="343">
        <v>30</v>
      </c>
      <c r="I19" s="344">
        <v>4</v>
      </c>
      <c r="J19" s="344">
        <f>IF($X$2=H19,1,0)</f>
        <v>0</v>
      </c>
      <c r="K19" s="344">
        <f>IF(F19&lt;=DESIGN!$E$75,1,0)</f>
        <v>1</v>
      </c>
      <c r="L19" s="338">
        <f t="shared" si="5"/>
        <v>0</v>
      </c>
      <c r="M19" s="339">
        <f t="shared" si="6"/>
        <v>1</v>
      </c>
      <c r="N19">
        <v>1</v>
      </c>
      <c r="T19" t="str">
        <f t="shared" si="4"/>
        <v/>
      </c>
      <c r="U19">
        <f t="shared" si="0"/>
        <v>0.5</v>
      </c>
    </row>
    <row r="20" spans="1:53" ht="14.25" thickTop="1" thickBot="1" x14ac:dyDescent="0.25">
      <c r="A20">
        <f t="shared" si="1"/>
        <v>0</v>
      </c>
      <c r="B20">
        <f t="shared" si="2"/>
        <v>0</v>
      </c>
      <c r="C20">
        <v>1</v>
      </c>
      <c r="D20" s="387" t="s">
        <v>1217</v>
      </c>
      <c r="E20" s="336">
        <v>450</v>
      </c>
      <c r="F20" s="336">
        <v>475</v>
      </c>
      <c r="G20" s="336">
        <v>15</v>
      </c>
      <c r="H20" s="337">
        <v>30</v>
      </c>
      <c r="I20" s="338">
        <v>2</v>
      </c>
      <c r="J20" s="338">
        <f>IF($X$2=H20,1,0)</f>
        <v>0</v>
      </c>
      <c r="K20" s="338">
        <f>IF(F20&lt;=DESIGN!$E$75,1,0)</f>
        <v>1</v>
      </c>
      <c r="L20" s="338">
        <f t="shared" si="5"/>
        <v>0</v>
      </c>
      <c r="M20" s="339">
        <f t="shared" si="6"/>
        <v>1</v>
      </c>
      <c r="N20">
        <v>1</v>
      </c>
      <c r="T20" t="str">
        <f t="shared" si="4"/>
        <v/>
      </c>
      <c r="U20">
        <f t="shared" si="0"/>
        <v>0.5</v>
      </c>
    </row>
    <row r="21" spans="1:53" ht="14.25" thickTop="1" thickBot="1" x14ac:dyDescent="0.25">
      <c r="A21">
        <f t="shared" si="1"/>
        <v>0</v>
      </c>
      <c r="B21">
        <f t="shared" si="2"/>
        <v>0</v>
      </c>
      <c r="C21">
        <v>1</v>
      </c>
      <c r="D21" s="385" t="s">
        <v>1216</v>
      </c>
      <c r="E21" s="345">
        <v>300</v>
      </c>
      <c r="F21" s="345">
        <v>330</v>
      </c>
      <c r="G21" s="345">
        <v>15</v>
      </c>
      <c r="H21" s="346">
        <v>30</v>
      </c>
      <c r="I21" s="347">
        <v>2</v>
      </c>
      <c r="J21" s="347">
        <f>IF($X$2=H21,1,0)</f>
        <v>0</v>
      </c>
      <c r="K21" s="347">
        <f>IF(F21&lt;=DESIGN!$E$75,1,0)</f>
        <v>1</v>
      </c>
      <c r="L21" s="338">
        <f t="shared" si="5"/>
        <v>0</v>
      </c>
      <c r="M21" s="339">
        <f>IF(I21&gt;$AA$1,0,1)</f>
        <v>1</v>
      </c>
      <c r="N21">
        <v>1</v>
      </c>
      <c r="T21" t="str">
        <f t="shared" si="4"/>
        <v/>
      </c>
      <c r="U21">
        <f t="shared" si="0"/>
        <v>0.5</v>
      </c>
    </row>
    <row r="22" spans="1:53" ht="14.25" thickTop="1" thickBot="1" x14ac:dyDescent="0.25">
      <c r="A22">
        <f t="shared" si="1"/>
        <v>0</v>
      </c>
      <c r="B22">
        <f t="shared" si="2"/>
        <v>0</v>
      </c>
      <c r="C22">
        <v>1</v>
      </c>
      <c r="D22" s="388" t="s">
        <v>1215</v>
      </c>
      <c r="E22" s="348">
        <v>300</v>
      </c>
      <c r="F22" s="348">
        <v>330</v>
      </c>
      <c r="G22" s="348">
        <v>4</v>
      </c>
      <c r="H22" s="349">
        <v>22</v>
      </c>
      <c r="I22" s="350">
        <v>1.5</v>
      </c>
      <c r="J22" s="350">
        <f>IF($X$2=H22,1,0)</f>
        <v>0</v>
      </c>
      <c r="K22" s="350">
        <f>IF(F22&lt;=DESIGN!$E$75,1,0)</f>
        <v>1</v>
      </c>
      <c r="L22" s="351">
        <f t="shared" si="5"/>
        <v>0</v>
      </c>
      <c r="M22" s="352">
        <f t="shared" si="6"/>
        <v>1</v>
      </c>
      <c r="N22">
        <v>1</v>
      </c>
      <c r="T22" t="str">
        <f t="shared" si="4"/>
        <v/>
      </c>
      <c r="U22">
        <f t="shared" si="0"/>
        <v>0.5</v>
      </c>
    </row>
    <row r="23" spans="1:53" ht="13.5" thickBot="1" x14ac:dyDescent="0.25">
      <c r="A23">
        <f t="shared" si="1"/>
        <v>0</v>
      </c>
      <c r="B23">
        <f t="shared" si="2"/>
        <v>0</v>
      </c>
      <c r="C23">
        <f t="shared" ref="C23:C64" si="7">IF(AND(B2=0,B23=1),1,0)</f>
        <v>0</v>
      </c>
      <c r="D23" s="353" t="s">
        <v>248</v>
      </c>
      <c r="E23" s="354">
        <v>835</v>
      </c>
      <c r="F23" s="354">
        <v>850</v>
      </c>
      <c r="G23" s="354">
        <v>9</v>
      </c>
      <c r="H23" s="355">
        <v>22</v>
      </c>
      <c r="I23" s="356">
        <v>200</v>
      </c>
      <c r="J23" s="356">
        <f t="shared" ref="J23:J37" si="8">IF($X$27=H23,1,0)</f>
        <v>0</v>
      </c>
      <c r="K23" s="356">
        <f>IF(F23&lt;=DESIGN!$E$75,1,0)</f>
        <v>1</v>
      </c>
      <c r="L23" s="356">
        <f>IF($AA$1&lt;=G23*N23,1,0)</f>
        <v>0</v>
      </c>
      <c r="M23" s="357">
        <f t="shared" si="6"/>
        <v>0</v>
      </c>
      <c r="N23">
        <v>2</v>
      </c>
      <c r="O23" s="328">
        <f>IF($Y$1&lt;N23,1,0)</f>
        <v>0</v>
      </c>
      <c r="Q23">
        <f t="shared" ref="Q23:Q64" si="9">IF(AND(A2=0,A23=1),1,0)</f>
        <v>0</v>
      </c>
      <c r="R23">
        <f t="shared" ref="R23:R44" si="10">O23*Q23</f>
        <v>0</v>
      </c>
      <c r="S23" s="324">
        <f t="shared" ref="S23:S36" si="11">IF(R23=0,0,IF(AND($X$2=$AC$1,$X$27=$AD$1),$AD$2,IF(AND($X$2=$AC$1,$X$27=$AC$1),$AC$2,0)))</f>
        <v>0</v>
      </c>
      <c r="T23" t="str">
        <f t="shared" si="4"/>
        <v/>
      </c>
      <c r="U23">
        <f t="shared" si="0"/>
        <v>1</v>
      </c>
    </row>
    <row r="24" spans="1:53" ht="14.25" thickTop="1" thickBot="1" x14ac:dyDescent="0.25">
      <c r="A24">
        <f t="shared" si="1"/>
        <v>0</v>
      </c>
      <c r="B24">
        <f t="shared" si="2"/>
        <v>0</v>
      </c>
      <c r="C24">
        <f t="shared" si="7"/>
        <v>0</v>
      </c>
      <c r="D24" s="358" t="s">
        <v>247</v>
      </c>
      <c r="E24" s="336">
        <v>597</v>
      </c>
      <c r="F24" s="336">
        <v>600</v>
      </c>
      <c r="G24" s="336">
        <v>9</v>
      </c>
      <c r="H24" s="337">
        <v>22</v>
      </c>
      <c r="I24" s="338">
        <v>200</v>
      </c>
      <c r="J24" s="338">
        <f t="shared" si="8"/>
        <v>0</v>
      </c>
      <c r="K24" s="338">
        <f>IF(F24&lt;=DESIGN!$E$75,1,0)</f>
        <v>1</v>
      </c>
      <c r="L24" s="338">
        <f t="shared" ref="L24:L64" si="12">IF($AA$1&lt;=G24*N24,1,0)</f>
        <v>0</v>
      </c>
      <c r="M24" s="359">
        <f t="shared" si="6"/>
        <v>0</v>
      </c>
      <c r="N24">
        <v>2</v>
      </c>
      <c r="O24" s="328">
        <f t="shared" ref="O24:O64" si="13">IF($Y$1&lt;N24,1,0)</f>
        <v>0</v>
      </c>
      <c r="Q24">
        <f t="shared" si="9"/>
        <v>0</v>
      </c>
      <c r="R24">
        <f t="shared" si="10"/>
        <v>0</v>
      </c>
      <c r="S24" s="324">
        <f t="shared" si="11"/>
        <v>0</v>
      </c>
      <c r="T24" t="str">
        <f t="shared" si="4"/>
        <v/>
      </c>
      <c r="U24">
        <f t="shared" si="0"/>
        <v>1</v>
      </c>
    </row>
    <row r="25" spans="1:53" ht="14.25" thickTop="1" thickBot="1" x14ac:dyDescent="0.25">
      <c r="A25">
        <f t="shared" si="1"/>
        <v>0</v>
      </c>
      <c r="B25">
        <f t="shared" si="2"/>
        <v>0</v>
      </c>
      <c r="C25">
        <f t="shared" si="7"/>
        <v>0</v>
      </c>
      <c r="D25" s="358" t="s">
        <v>246</v>
      </c>
      <c r="E25" s="336">
        <v>438</v>
      </c>
      <c r="F25" s="336">
        <v>450</v>
      </c>
      <c r="G25" s="336">
        <v>6</v>
      </c>
      <c r="H25" s="337">
        <v>22</v>
      </c>
      <c r="I25" s="338">
        <v>200</v>
      </c>
      <c r="J25" s="338">
        <f t="shared" si="8"/>
        <v>0</v>
      </c>
      <c r="K25" s="338">
        <f>IF(F25&lt;=DESIGN!$E$75,1,0)</f>
        <v>1</v>
      </c>
      <c r="L25" s="338">
        <f t="shared" si="12"/>
        <v>0</v>
      </c>
      <c r="M25" s="359">
        <f t="shared" si="6"/>
        <v>0</v>
      </c>
      <c r="N25">
        <v>2</v>
      </c>
      <c r="O25" s="328">
        <f t="shared" si="13"/>
        <v>0</v>
      </c>
      <c r="Q25">
        <f t="shared" si="9"/>
        <v>0</v>
      </c>
      <c r="R25">
        <f t="shared" si="10"/>
        <v>0</v>
      </c>
      <c r="S25" s="324">
        <f t="shared" si="11"/>
        <v>0</v>
      </c>
      <c r="T25" t="str">
        <f t="shared" si="4"/>
        <v/>
      </c>
      <c r="U25">
        <f t="shared" si="0"/>
        <v>1</v>
      </c>
    </row>
    <row r="26" spans="1:53" ht="14.25" thickTop="1" thickBot="1" x14ac:dyDescent="0.25">
      <c r="A26">
        <f t="shared" si="1"/>
        <v>0</v>
      </c>
      <c r="B26">
        <f t="shared" si="2"/>
        <v>0</v>
      </c>
      <c r="C26">
        <f t="shared" si="7"/>
        <v>0</v>
      </c>
      <c r="D26" s="358" t="s">
        <v>245</v>
      </c>
      <c r="E26" s="336">
        <v>332</v>
      </c>
      <c r="F26" s="336">
        <v>350</v>
      </c>
      <c r="G26" s="336">
        <v>4</v>
      </c>
      <c r="H26" s="337">
        <v>22</v>
      </c>
      <c r="I26" s="338">
        <v>200</v>
      </c>
      <c r="J26" s="338">
        <f t="shared" si="8"/>
        <v>0</v>
      </c>
      <c r="K26" s="338">
        <f>IF(F26&lt;=DESIGN!$E$75,1,0)</f>
        <v>1</v>
      </c>
      <c r="L26" s="338">
        <f t="shared" si="12"/>
        <v>0</v>
      </c>
      <c r="M26" s="359">
        <f t="shared" si="6"/>
        <v>0</v>
      </c>
      <c r="N26">
        <v>2</v>
      </c>
      <c r="O26" s="328">
        <f t="shared" si="13"/>
        <v>0</v>
      </c>
      <c r="Q26">
        <f t="shared" si="9"/>
        <v>0</v>
      </c>
      <c r="R26">
        <f t="shared" si="10"/>
        <v>0</v>
      </c>
      <c r="S26" s="324">
        <f t="shared" si="11"/>
        <v>0</v>
      </c>
      <c r="T26" t="str">
        <f t="shared" si="4"/>
        <v/>
      </c>
      <c r="U26">
        <f t="shared" si="0"/>
        <v>1</v>
      </c>
    </row>
    <row r="27" spans="1:53" ht="14.25" thickTop="1" thickBot="1" x14ac:dyDescent="0.25">
      <c r="A27">
        <f t="shared" si="1"/>
        <v>0</v>
      </c>
      <c r="B27">
        <f t="shared" si="2"/>
        <v>0</v>
      </c>
      <c r="C27">
        <f t="shared" si="7"/>
        <v>0</v>
      </c>
      <c r="D27" s="360" t="s">
        <v>1219</v>
      </c>
      <c r="E27" s="336">
        <v>1640</v>
      </c>
      <c r="F27" s="336">
        <v>1650</v>
      </c>
      <c r="G27" s="336">
        <v>18</v>
      </c>
      <c r="H27" s="337">
        <v>30</v>
      </c>
      <c r="I27" s="338">
        <f>I6*J27</f>
        <v>0</v>
      </c>
      <c r="J27" s="338">
        <f t="shared" si="8"/>
        <v>0</v>
      </c>
      <c r="K27" s="338">
        <f>IF(F27&lt;=DESIGN!$E$75,1,0)</f>
        <v>0</v>
      </c>
      <c r="L27" s="338">
        <f t="shared" si="12"/>
        <v>0</v>
      </c>
      <c r="M27" s="359">
        <f t="shared" si="6"/>
        <v>1</v>
      </c>
      <c r="N27">
        <v>2</v>
      </c>
      <c r="O27" s="328">
        <f t="shared" si="13"/>
        <v>0</v>
      </c>
      <c r="Q27">
        <f t="shared" si="9"/>
        <v>0</v>
      </c>
      <c r="R27">
        <f t="shared" si="10"/>
        <v>0</v>
      </c>
      <c r="S27" s="324">
        <f t="shared" si="11"/>
        <v>0</v>
      </c>
      <c r="T27" t="str">
        <f t="shared" si="4"/>
        <v/>
      </c>
      <c r="U27">
        <f t="shared" si="0"/>
        <v>1</v>
      </c>
      <c r="W27" s="294" t="s">
        <v>2930</v>
      </c>
      <c r="X27">
        <f>HLOOKUP(X1,Y28:BA29,2,0)</f>
        <v>40</v>
      </c>
    </row>
    <row r="28" spans="1:53" ht="14.25" thickTop="1" thickBot="1" x14ac:dyDescent="0.25">
      <c r="A28">
        <f t="shared" si="1"/>
        <v>0</v>
      </c>
      <c r="B28">
        <f t="shared" si="2"/>
        <v>0</v>
      </c>
      <c r="C28">
        <f t="shared" si="7"/>
        <v>0</v>
      </c>
      <c r="D28" s="360" t="s">
        <v>254</v>
      </c>
      <c r="E28" s="336">
        <v>1245</v>
      </c>
      <c r="F28" s="336">
        <v>1250</v>
      </c>
      <c r="G28" s="336">
        <v>18</v>
      </c>
      <c r="H28" s="337">
        <v>30</v>
      </c>
      <c r="I28" s="338">
        <v>20</v>
      </c>
      <c r="J28" s="338">
        <f t="shared" si="8"/>
        <v>0</v>
      </c>
      <c r="K28" s="338">
        <f>IF(F28&lt;=DESIGN!$E$75,1,0)</f>
        <v>0</v>
      </c>
      <c r="L28" s="338">
        <f t="shared" si="12"/>
        <v>0</v>
      </c>
      <c r="M28" s="359">
        <f t="shared" si="6"/>
        <v>1</v>
      </c>
      <c r="N28">
        <v>2</v>
      </c>
      <c r="O28" s="328">
        <f t="shared" si="13"/>
        <v>0</v>
      </c>
      <c r="Q28">
        <f t="shared" si="9"/>
        <v>0</v>
      </c>
      <c r="R28">
        <f t="shared" si="10"/>
        <v>0</v>
      </c>
      <c r="S28" s="324">
        <f t="shared" si="11"/>
        <v>0</v>
      </c>
      <c r="T28" t="str">
        <f t="shared" si="4"/>
        <v/>
      </c>
      <c r="U28">
        <f t="shared" si="0"/>
        <v>1</v>
      </c>
      <c r="Y28" s="322" t="s">
        <v>936</v>
      </c>
      <c r="Z28" s="322" t="s">
        <v>937</v>
      </c>
      <c r="AA28" s="322" t="s">
        <v>938</v>
      </c>
      <c r="AB28" s="322" t="s">
        <v>939</v>
      </c>
      <c r="AC28" s="50" t="s">
        <v>940</v>
      </c>
      <c r="AD28" s="50" t="s">
        <v>941</v>
      </c>
      <c r="AE28" s="50" t="s">
        <v>942</v>
      </c>
      <c r="AF28" s="50" t="s">
        <v>2072</v>
      </c>
      <c r="AG28" s="50" t="s">
        <v>943</v>
      </c>
      <c r="AH28" s="50" t="s">
        <v>944</v>
      </c>
      <c r="AI28" s="50"/>
      <c r="AJ28" s="323" t="s">
        <v>945</v>
      </c>
      <c r="AK28" s="50" t="s">
        <v>946</v>
      </c>
      <c r="AL28" s="50" t="s">
        <v>947</v>
      </c>
      <c r="AM28" s="50" t="s">
        <v>948</v>
      </c>
      <c r="AN28" s="50" t="s">
        <v>950</v>
      </c>
      <c r="AO28" s="50" t="s">
        <v>951</v>
      </c>
      <c r="AP28" s="50" t="s">
        <v>952</v>
      </c>
      <c r="AQ28" s="50" t="s">
        <v>953</v>
      </c>
      <c r="AR28" s="322" t="s">
        <v>2989</v>
      </c>
      <c r="AS28" s="50" t="s">
        <v>954</v>
      </c>
      <c r="AT28" s="50" t="s">
        <v>955</v>
      </c>
      <c r="AU28" s="50" t="s">
        <v>956</v>
      </c>
      <c r="AV28" s="322" t="s">
        <v>2990</v>
      </c>
      <c r="AW28" s="50" t="s">
        <v>957</v>
      </c>
      <c r="AX28" s="322" t="s">
        <v>2993</v>
      </c>
      <c r="AY28" s="50" t="s">
        <v>2123</v>
      </c>
      <c r="AZ28" s="50" t="s">
        <v>2134</v>
      </c>
      <c r="BA28" s="50" t="s">
        <v>2135</v>
      </c>
    </row>
    <row r="29" spans="1:53" ht="14.25" thickTop="1" thickBot="1" x14ac:dyDescent="0.25">
      <c r="A29">
        <f t="shared" si="1"/>
        <v>0</v>
      </c>
      <c r="B29">
        <f t="shared" si="2"/>
        <v>0</v>
      </c>
      <c r="C29">
        <f t="shared" si="7"/>
        <v>0</v>
      </c>
      <c r="D29" s="360" t="s">
        <v>253</v>
      </c>
      <c r="E29" s="336">
        <v>1048</v>
      </c>
      <c r="F29" s="336">
        <v>1050</v>
      </c>
      <c r="G29" s="336">
        <v>18</v>
      </c>
      <c r="H29" s="337">
        <v>30</v>
      </c>
      <c r="I29" s="338">
        <v>20</v>
      </c>
      <c r="J29" s="338">
        <f t="shared" si="8"/>
        <v>0</v>
      </c>
      <c r="K29" s="338">
        <f>IF(F29&lt;=DESIGN!$E$75,1,0)</f>
        <v>1</v>
      </c>
      <c r="L29" s="338">
        <f t="shared" si="12"/>
        <v>0</v>
      </c>
      <c r="M29" s="359">
        <f t="shared" si="6"/>
        <v>1</v>
      </c>
      <c r="N29">
        <v>2</v>
      </c>
      <c r="O29" s="328">
        <f t="shared" si="13"/>
        <v>0</v>
      </c>
      <c r="Q29">
        <f t="shared" si="9"/>
        <v>0</v>
      </c>
      <c r="R29">
        <f t="shared" si="10"/>
        <v>0</v>
      </c>
      <c r="S29" s="324">
        <f t="shared" si="11"/>
        <v>0</v>
      </c>
      <c r="T29" t="str">
        <f t="shared" si="4"/>
        <v/>
      </c>
      <c r="U29">
        <f t="shared" si="0"/>
        <v>1</v>
      </c>
      <c r="X29" t="s">
        <v>2929</v>
      </c>
      <c r="AG29">
        <v>30</v>
      </c>
      <c r="AH29">
        <v>30</v>
      </c>
      <c r="AJ29">
        <v>40</v>
      </c>
      <c r="AK29">
        <v>40</v>
      </c>
      <c r="AL29">
        <v>40</v>
      </c>
      <c r="AM29">
        <v>40</v>
      </c>
      <c r="AR29">
        <v>30</v>
      </c>
      <c r="AS29">
        <v>30</v>
      </c>
      <c r="AT29">
        <v>30</v>
      </c>
      <c r="AU29">
        <v>40</v>
      </c>
      <c r="AV29">
        <v>40</v>
      </c>
      <c r="AW29">
        <v>40</v>
      </c>
      <c r="AX29">
        <v>40</v>
      </c>
      <c r="AY29">
        <v>40</v>
      </c>
      <c r="AZ29">
        <v>40</v>
      </c>
    </row>
    <row r="30" spans="1:53" ht="14.25" thickTop="1" thickBot="1" x14ac:dyDescent="0.25">
      <c r="A30">
        <f>M30*J30*K30*L30*C30</f>
        <v>0</v>
      </c>
      <c r="B30">
        <f t="shared" si="2"/>
        <v>0</v>
      </c>
      <c r="C30">
        <f t="shared" si="7"/>
        <v>0</v>
      </c>
      <c r="D30" s="360" t="s">
        <v>252</v>
      </c>
      <c r="E30" s="336">
        <v>850</v>
      </c>
      <c r="F30" s="336">
        <v>850</v>
      </c>
      <c r="G30" s="336">
        <v>18</v>
      </c>
      <c r="H30" s="337">
        <v>30</v>
      </c>
      <c r="I30" s="338">
        <v>20</v>
      </c>
      <c r="J30" s="338">
        <f t="shared" si="8"/>
        <v>0</v>
      </c>
      <c r="K30" s="338">
        <f>IF(F30&lt;=DESIGN!$E$75,1,0)</f>
        <v>1</v>
      </c>
      <c r="L30" s="338">
        <f t="shared" si="12"/>
        <v>0</v>
      </c>
      <c r="M30" s="359">
        <f t="shared" si="6"/>
        <v>1</v>
      </c>
      <c r="N30">
        <v>2</v>
      </c>
      <c r="O30" s="328">
        <f t="shared" si="13"/>
        <v>0</v>
      </c>
      <c r="Q30">
        <f t="shared" si="9"/>
        <v>0</v>
      </c>
      <c r="R30">
        <f t="shared" si="10"/>
        <v>0</v>
      </c>
      <c r="S30" s="324">
        <f t="shared" si="11"/>
        <v>0</v>
      </c>
      <c r="T30" t="str">
        <f t="shared" si="4"/>
        <v/>
      </c>
      <c r="U30">
        <f t="shared" si="0"/>
        <v>1</v>
      </c>
    </row>
    <row r="31" spans="1:53" ht="14.25" thickTop="1" thickBot="1" x14ac:dyDescent="0.25">
      <c r="A31">
        <f t="shared" si="1"/>
        <v>0</v>
      </c>
      <c r="B31">
        <f t="shared" si="2"/>
        <v>0</v>
      </c>
      <c r="C31">
        <f t="shared" si="7"/>
        <v>0</v>
      </c>
      <c r="D31" s="360" t="s">
        <v>251</v>
      </c>
      <c r="E31" s="336">
        <v>596</v>
      </c>
      <c r="F31" s="336">
        <v>600</v>
      </c>
      <c r="G31" s="336">
        <v>12</v>
      </c>
      <c r="H31" s="337">
        <v>30</v>
      </c>
      <c r="I31" s="338">
        <v>20</v>
      </c>
      <c r="J31" s="338">
        <f t="shared" si="8"/>
        <v>0</v>
      </c>
      <c r="K31" s="338">
        <f>IF(F31&lt;=DESIGN!$E$75,1,0)</f>
        <v>1</v>
      </c>
      <c r="L31" s="338">
        <f t="shared" si="12"/>
        <v>0</v>
      </c>
      <c r="M31" s="359">
        <f t="shared" si="6"/>
        <v>1</v>
      </c>
      <c r="N31">
        <v>2</v>
      </c>
      <c r="O31" s="328">
        <f t="shared" si="13"/>
        <v>0</v>
      </c>
      <c r="Q31">
        <f t="shared" si="9"/>
        <v>0</v>
      </c>
      <c r="R31">
        <f t="shared" si="10"/>
        <v>0</v>
      </c>
      <c r="S31" s="324">
        <f t="shared" si="11"/>
        <v>0</v>
      </c>
      <c r="T31" t="str">
        <f t="shared" si="4"/>
        <v/>
      </c>
      <c r="U31">
        <f t="shared" si="0"/>
        <v>1</v>
      </c>
    </row>
    <row r="32" spans="1:53" ht="14.25" thickTop="1" thickBot="1" x14ac:dyDescent="0.25">
      <c r="A32">
        <f t="shared" si="1"/>
        <v>0</v>
      </c>
      <c r="B32">
        <f t="shared" si="2"/>
        <v>0</v>
      </c>
      <c r="C32">
        <f t="shared" si="7"/>
        <v>0</v>
      </c>
      <c r="D32" s="360" t="s">
        <v>250</v>
      </c>
      <c r="E32" s="336">
        <v>427</v>
      </c>
      <c r="F32" s="336">
        <v>450</v>
      </c>
      <c r="G32" s="336">
        <v>8</v>
      </c>
      <c r="H32" s="337">
        <v>30</v>
      </c>
      <c r="I32" s="338">
        <v>200</v>
      </c>
      <c r="J32" s="338">
        <f t="shared" si="8"/>
        <v>0</v>
      </c>
      <c r="K32" s="338">
        <f>IF(F32&lt;=DESIGN!$E$75,1,0)</f>
        <v>1</v>
      </c>
      <c r="L32" s="338">
        <f t="shared" si="12"/>
        <v>0</v>
      </c>
      <c r="M32" s="359">
        <f>IF(I32&gt;$AA$1,0,1)</f>
        <v>0</v>
      </c>
      <c r="N32">
        <v>2</v>
      </c>
      <c r="O32" s="328">
        <f t="shared" si="13"/>
        <v>0</v>
      </c>
      <c r="Q32">
        <f t="shared" si="9"/>
        <v>0</v>
      </c>
      <c r="R32">
        <f t="shared" si="10"/>
        <v>0</v>
      </c>
      <c r="S32" s="324">
        <f t="shared" si="11"/>
        <v>0</v>
      </c>
      <c r="T32" t="str">
        <f t="shared" si="4"/>
        <v/>
      </c>
      <c r="U32">
        <f t="shared" si="0"/>
        <v>1</v>
      </c>
    </row>
    <row r="33" spans="1:53" ht="14.25" thickTop="1" thickBot="1" x14ac:dyDescent="0.25">
      <c r="A33">
        <f t="shared" si="1"/>
        <v>0</v>
      </c>
      <c r="B33">
        <f t="shared" si="2"/>
        <v>0</v>
      </c>
      <c r="C33">
        <f t="shared" si="7"/>
        <v>0</v>
      </c>
      <c r="D33" s="360" t="s">
        <v>249</v>
      </c>
      <c r="E33" s="336">
        <v>343</v>
      </c>
      <c r="F33" s="336">
        <v>350</v>
      </c>
      <c r="G33" s="336">
        <v>5</v>
      </c>
      <c r="H33" s="337">
        <v>30</v>
      </c>
      <c r="I33" s="338">
        <v>200</v>
      </c>
      <c r="J33" s="338">
        <f t="shared" si="8"/>
        <v>0</v>
      </c>
      <c r="K33" s="338">
        <f>IF(F33&lt;=DESIGN!$E$75,1,0)</f>
        <v>1</v>
      </c>
      <c r="L33" s="338">
        <f t="shared" si="12"/>
        <v>0</v>
      </c>
      <c r="M33" s="359">
        <f t="shared" si="6"/>
        <v>0</v>
      </c>
      <c r="N33">
        <v>2</v>
      </c>
      <c r="O33" s="328">
        <f t="shared" si="13"/>
        <v>0</v>
      </c>
      <c r="Q33">
        <f t="shared" si="9"/>
        <v>0</v>
      </c>
      <c r="R33">
        <f t="shared" si="10"/>
        <v>0</v>
      </c>
      <c r="S33" s="324">
        <f t="shared" si="11"/>
        <v>0</v>
      </c>
      <c r="T33" t="str">
        <f t="shared" si="4"/>
        <v/>
      </c>
      <c r="U33">
        <f t="shared" si="0"/>
        <v>1</v>
      </c>
    </row>
    <row r="34" spans="1:53" ht="14.25" thickTop="1" thickBot="1" x14ac:dyDescent="0.25">
      <c r="A34">
        <f t="shared" si="1"/>
        <v>0</v>
      </c>
      <c r="B34">
        <f t="shared" si="2"/>
        <v>0</v>
      </c>
      <c r="C34">
        <f t="shared" si="7"/>
        <v>0</v>
      </c>
      <c r="D34" s="361" t="s">
        <v>243</v>
      </c>
      <c r="E34" s="336">
        <v>2025</v>
      </c>
      <c r="F34" s="336">
        <v>2050</v>
      </c>
      <c r="G34" s="336">
        <v>45</v>
      </c>
      <c r="H34" s="337">
        <v>40</v>
      </c>
      <c r="I34" s="338">
        <v>65</v>
      </c>
      <c r="J34" s="338">
        <f t="shared" si="8"/>
        <v>1</v>
      </c>
      <c r="K34" s="338">
        <f>IF(F34&lt;=DESIGN!$E$75,1,0)</f>
        <v>0</v>
      </c>
      <c r="L34" s="338">
        <f t="shared" si="12"/>
        <v>1</v>
      </c>
      <c r="M34" s="359">
        <f t="shared" si="6"/>
        <v>1</v>
      </c>
      <c r="N34">
        <v>2</v>
      </c>
      <c r="O34" s="328">
        <f t="shared" si="13"/>
        <v>0</v>
      </c>
      <c r="Q34">
        <f t="shared" si="9"/>
        <v>0</v>
      </c>
      <c r="R34">
        <f t="shared" si="10"/>
        <v>0</v>
      </c>
      <c r="S34" s="324">
        <f t="shared" si="11"/>
        <v>0</v>
      </c>
      <c r="T34" t="str">
        <f t="shared" si="4"/>
        <v/>
      </c>
      <c r="U34">
        <f t="shared" ref="U34:U64" si="14">N34/$Y$1</f>
        <v>1</v>
      </c>
    </row>
    <row r="35" spans="1:53" ht="14.25" thickTop="1" thickBot="1" x14ac:dyDescent="0.25">
      <c r="A35">
        <f t="shared" si="1"/>
        <v>0</v>
      </c>
      <c r="B35">
        <f t="shared" si="2"/>
        <v>0</v>
      </c>
      <c r="C35">
        <f t="shared" si="7"/>
        <v>0</v>
      </c>
      <c r="D35" s="361" t="s">
        <v>244</v>
      </c>
      <c r="E35" s="336">
        <v>1636</v>
      </c>
      <c r="F35" s="336">
        <v>1650</v>
      </c>
      <c r="G35" s="336">
        <v>45</v>
      </c>
      <c r="H35" s="337">
        <v>40</v>
      </c>
      <c r="I35" s="338">
        <v>45</v>
      </c>
      <c r="J35" s="338">
        <f t="shared" si="8"/>
        <v>1</v>
      </c>
      <c r="K35" s="338">
        <f>IF(F35&lt;=DESIGN!$E$75,1,0)</f>
        <v>0</v>
      </c>
      <c r="L35" s="338">
        <f t="shared" si="12"/>
        <v>1</v>
      </c>
      <c r="M35" s="359">
        <f t="shared" si="6"/>
        <v>1</v>
      </c>
      <c r="N35">
        <v>2</v>
      </c>
      <c r="O35" s="328">
        <f t="shared" si="13"/>
        <v>0</v>
      </c>
      <c r="Q35">
        <f t="shared" si="9"/>
        <v>0</v>
      </c>
      <c r="R35">
        <f t="shared" si="10"/>
        <v>0</v>
      </c>
      <c r="S35" s="324">
        <f t="shared" si="11"/>
        <v>0</v>
      </c>
      <c r="T35" t="str">
        <f t="shared" si="4"/>
        <v/>
      </c>
      <c r="U35">
        <f t="shared" si="14"/>
        <v>1</v>
      </c>
    </row>
    <row r="36" spans="1:53" ht="14.25" thickTop="1" thickBot="1" x14ac:dyDescent="0.25">
      <c r="A36">
        <f t="shared" si="1"/>
        <v>0</v>
      </c>
      <c r="B36">
        <f t="shared" si="2"/>
        <v>0</v>
      </c>
      <c r="C36">
        <f t="shared" si="7"/>
        <v>0</v>
      </c>
      <c r="D36" s="361" t="s">
        <v>257</v>
      </c>
      <c r="E36" s="336">
        <v>1222</v>
      </c>
      <c r="F36" s="336">
        <v>1250</v>
      </c>
      <c r="G36" s="336">
        <v>45</v>
      </c>
      <c r="H36" s="337">
        <v>40</v>
      </c>
      <c r="I36" s="338">
        <v>45</v>
      </c>
      <c r="J36" s="338">
        <f t="shared" si="8"/>
        <v>1</v>
      </c>
      <c r="K36" s="338">
        <f>IF(F36&lt;=DESIGN!$E$75,1,0)</f>
        <v>0</v>
      </c>
      <c r="L36" s="338">
        <f t="shared" si="12"/>
        <v>1</v>
      </c>
      <c r="M36" s="359">
        <f t="shared" si="6"/>
        <v>1</v>
      </c>
      <c r="N36">
        <v>2</v>
      </c>
      <c r="O36" s="328">
        <f t="shared" si="13"/>
        <v>0</v>
      </c>
      <c r="Q36">
        <f t="shared" si="9"/>
        <v>0</v>
      </c>
      <c r="R36">
        <f t="shared" si="10"/>
        <v>0</v>
      </c>
      <c r="S36" s="324">
        <f t="shared" si="11"/>
        <v>0</v>
      </c>
      <c r="T36" t="str">
        <f t="shared" si="4"/>
        <v/>
      </c>
      <c r="U36">
        <f>N36/$Y$1</f>
        <v>1</v>
      </c>
    </row>
    <row r="37" spans="1:53" ht="14.25" thickTop="1" thickBot="1" x14ac:dyDescent="0.25">
      <c r="A37">
        <f t="shared" si="1"/>
        <v>0</v>
      </c>
      <c r="B37">
        <f t="shared" si="2"/>
        <v>0</v>
      </c>
      <c r="C37">
        <f t="shared" si="7"/>
        <v>0</v>
      </c>
      <c r="D37" s="361" t="s">
        <v>256</v>
      </c>
      <c r="E37" s="336">
        <v>1015</v>
      </c>
      <c r="F37" s="336">
        <v>1050</v>
      </c>
      <c r="G37" s="336">
        <v>35</v>
      </c>
      <c r="H37" s="337">
        <v>40</v>
      </c>
      <c r="I37" s="338">
        <v>40</v>
      </c>
      <c r="J37" s="338">
        <f t="shared" si="8"/>
        <v>1</v>
      </c>
      <c r="K37" s="338">
        <f>IF(F37&lt;=DESIGN!$E$75,1,0)</f>
        <v>1</v>
      </c>
      <c r="L37" s="338">
        <f t="shared" si="12"/>
        <v>0</v>
      </c>
      <c r="M37" s="359">
        <f t="shared" si="6"/>
        <v>1</v>
      </c>
      <c r="N37">
        <v>2</v>
      </c>
      <c r="O37" s="328">
        <f t="shared" si="13"/>
        <v>0</v>
      </c>
      <c r="Q37">
        <f t="shared" si="9"/>
        <v>0</v>
      </c>
      <c r="R37">
        <f t="shared" si="10"/>
        <v>0</v>
      </c>
      <c r="S37" s="324">
        <f>IF(AND(X1=Y12,Z12=Z13),0,IF(R37=0,0,IF(AND($X$2=$AC$1,$X$27=$AD$1),$AD$2,IF(AND($X$2=$AC$1,$X$27=$AC$1),$AC$2,0))))</f>
        <v>0</v>
      </c>
      <c r="T37" t="str">
        <f t="shared" si="4"/>
        <v/>
      </c>
      <c r="U37">
        <f t="shared" si="14"/>
        <v>1</v>
      </c>
    </row>
    <row r="38" spans="1:53" ht="14.25" thickTop="1" thickBot="1" x14ac:dyDescent="0.25">
      <c r="A38">
        <f t="shared" si="1"/>
        <v>0</v>
      </c>
      <c r="B38">
        <f t="shared" si="2"/>
        <v>0</v>
      </c>
      <c r="C38">
        <f t="shared" si="7"/>
        <v>0</v>
      </c>
      <c r="D38" s="361" t="s">
        <v>255</v>
      </c>
      <c r="E38" s="336">
        <v>834</v>
      </c>
      <c r="F38" s="336">
        <v>850</v>
      </c>
      <c r="G38" s="336">
        <v>25</v>
      </c>
      <c r="H38" s="337">
        <v>40</v>
      </c>
      <c r="I38" s="338">
        <v>35</v>
      </c>
      <c r="J38" s="338">
        <f>IF(X1=Y10,1,IF($X$27=H38,1,0))</f>
        <v>1</v>
      </c>
      <c r="K38" s="338">
        <f>IF(F38&lt;=DESIGN!$E$75,1,0)</f>
        <v>1</v>
      </c>
      <c r="L38" s="338">
        <f>IF($AA$1&lt;=G38*N38,1,0)</f>
        <v>0</v>
      </c>
      <c r="M38" s="359">
        <f t="shared" si="6"/>
        <v>1</v>
      </c>
      <c r="N38">
        <v>2</v>
      </c>
      <c r="O38" s="328">
        <f t="shared" si="13"/>
        <v>0</v>
      </c>
      <c r="Q38">
        <f t="shared" si="9"/>
        <v>0</v>
      </c>
      <c r="R38">
        <f t="shared" si="10"/>
        <v>0</v>
      </c>
      <c r="S38" s="324">
        <f>IF(AND(X1=Y12,Z12=Z13),0,IF(X1=Y10,AC2,IF(R38=0,0,IF(AND($X$2=$AC$1,$X$27=$AD$1),$AD$2,IF(AND($X$2=$AC$1,$X$27=$AC$1),$AC$2,0)))))</f>
        <v>0</v>
      </c>
      <c r="T38" t="str">
        <f t="shared" si="4"/>
        <v/>
      </c>
      <c r="U38">
        <f t="shared" si="14"/>
        <v>1</v>
      </c>
    </row>
    <row r="39" spans="1:53" ht="14.25" thickTop="1" thickBot="1" x14ac:dyDescent="0.25">
      <c r="A39">
        <f t="shared" si="1"/>
        <v>1</v>
      </c>
      <c r="B39">
        <f t="shared" si="2"/>
        <v>1</v>
      </c>
      <c r="C39">
        <f t="shared" si="7"/>
        <v>1</v>
      </c>
      <c r="D39" s="362" t="s">
        <v>1220</v>
      </c>
      <c r="E39" s="345">
        <v>600</v>
      </c>
      <c r="F39" s="345">
        <v>625</v>
      </c>
      <c r="G39" s="345">
        <v>45</v>
      </c>
      <c r="H39" s="346">
        <v>40</v>
      </c>
      <c r="I39" s="347">
        <v>45</v>
      </c>
      <c r="J39" s="347">
        <f>IF($X$27=H39,1,0)</f>
        <v>1</v>
      </c>
      <c r="K39" s="347">
        <f>IF(F39&lt;=DESIGN!$E$75,1,0)</f>
        <v>1</v>
      </c>
      <c r="L39" s="338">
        <f t="shared" si="12"/>
        <v>1</v>
      </c>
      <c r="M39" s="359">
        <f t="shared" si="6"/>
        <v>1</v>
      </c>
      <c r="N39">
        <v>2</v>
      </c>
      <c r="O39" s="328">
        <f t="shared" si="13"/>
        <v>0</v>
      </c>
      <c r="Q39">
        <f t="shared" si="9"/>
        <v>1</v>
      </c>
      <c r="R39">
        <f t="shared" si="10"/>
        <v>0</v>
      </c>
      <c r="S39" s="324">
        <f>IF(R39=0,0,IF(AND($X$2=$AC$1,$X$27=$AD$1),$AD$2,IF(AND($X$2=$AC$1,$X$27=$AC$1),$AC$2,0)))</f>
        <v>0</v>
      </c>
      <c r="T39" t="str">
        <f t="shared" si="4"/>
        <v/>
      </c>
      <c r="U39">
        <f t="shared" si="14"/>
        <v>1</v>
      </c>
    </row>
    <row r="40" spans="1:53" ht="14.25" thickTop="1" thickBot="1" x14ac:dyDescent="0.25">
      <c r="A40">
        <f t="shared" si="1"/>
        <v>0</v>
      </c>
      <c r="B40">
        <f t="shared" si="2"/>
        <v>0</v>
      </c>
      <c r="C40">
        <f t="shared" si="7"/>
        <v>0</v>
      </c>
      <c r="D40" s="363" t="s">
        <v>1218</v>
      </c>
      <c r="E40" s="336">
        <v>600</v>
      </c>
      <c r="F40" s="342">
        <v>625</v>
      </c>
      <c r="G40" s="336">
        <v>15</v>
      </c>
      <c r="H40" s="337">
        <v>30</v>
      </c>
      <c r="I40" s="338">
        <v>20</v>
      </c>
      <c r="J40" s="338">
        <f>IF($X$27=H40,1,0)</f>
        <v>0</v>
      </c>
      <c r="K40" s="338">
        <f>IF(F40&lt;=DESIGN!$E$75,1,0)</f>
        <v>1</v>
      </c>
      <c r="L40" s="338">
        <f t="shared" si="12"/>
        <v>0</v>
      </c>
      <c r="M40" s="359">
        <f t="shared" si="6"/>
        <v>1</v>
      </c>
      <c r="N40">
        <v>2</v>
      </c>
      <c r="O40" s="328">
        <f t="shared" si="13"/>
        <v>0</v>
      </c>
      <c r="Q40">
        <f t="shared" si="9"/>
        <v>0</v>
      </c>
      <c r="R40">
        <f t="shared" si="10"/>
        <v>0</v>
      </c>
      <c r="S40" s="324">
        <f>IF(X1=Y14,AC2,IF(R40=0,0,IF(AND($X$2=$AC$1,$X$27=$AD$1),$AD$2,IF(AND($X$2=$AC$1,$X$27=$AC$1),$AC$2,0))))</f>
        <v>0</v>
      </c>
      <c r="T40" t="str">
        <f t="shared" si="4"/>
        <v/>
      </c>
      <c r="U40">
        <f t="shared" si="14"/>
        <v>1</v>
      </c>
    </row>
    <row r="41" spans="1:53" ht="14.25" thickTop="1" thickBot="1" x14ac:dyDescent="0.25">
      <c r="A41">
        <f t="shared" si="1"/>
        <v>0</v>
      </c>
      <c r="B41">
        <f t="shared" si="2"/>
        <v>0</v>
      </c>
      <c r="C41">
        <f t="shared" si="7"/>
        <v>0</v>
      </c>
      <c r="D41" s="363" t="s">
        <v>1217</v>
      </c>
      <c r="E41" s="336">
        <v>450</v>
      </c>
      <c r="F41" s="336">
        <v>475</v>
      </c>
      <c r="G41" s="336">
        <v>15</v>
      </c>
      <c r="H41" s="337">
        <v>30</v>
      </c>
      <c r="I41" s="338">
        <v>20</v>
      </c>
      <c r="J41" s="338">
        <f>IF($X$27=H41,1,0)</f>
        <v>0</v>
      </c>
      <c r="K41" s="338">
        <f>IF(F41&lt;=DESIGN!$E$75,1,0)</f>
        <v>1</v>
      </c>
      <c r="L41" s="338">
        <f t="shared" si="12"/>
        <v>0</v>
      </c>
      <c r="M41" s="359">
        <f t="shared" si="6"/>
        <v>1</v>
      </c>
      <c r="N41">
        <v>2</v>
      </c>
      <c r="O41" s="328">
        <f t="shared" si="13"/>
        <v>0</v>
      </c>
      <c r="Q41">
        <f t="shared" si="9"/>
        <v>0</v>
      </c>
      <c r="R41">
        <f t="shared" si="10"/>
        <v>0</v>
      </c>
      <c r="S41" s="324">
        <f>IF(R41=0,0,IF(AND($X$2=$AC$1,$X$27=$AD$1),$AD$2,IF(AND($X$2=$AC$1,$X$27=$AC$1),$AC$2,0)))</f>
        <v>0</v>
      </c>
      <c r="T41" t="str">
        <f t="shared" si="4"/>
        <v/>
      </c>
      <c r="U41">
        <f t="shared" si="14"/>
        <v>1</v>
      </c>
    </row>
    <row r="42" spans="1:53" ht="14.25" thickTop="1" thickBot="1" x14ac:dyDescent="0.25">
      <c r="A42">
        <f>M42*J42*K42*L42*C42</f>
        <v>0</v>
      </c>
      <c r="B42">
        <f t="shared" si="2"/>
        <v>0</v>
      </c>
      <c r="C42">
        <f t="shared" si="7"/>
        <v>0</v>
      </c>
      <c r="D42" s="363" t="s">
        <v>1216</v>
      </c>
      <c r="E42" s="336">
        <v>300</v>
      </c>
      <c r="F42" s="345">
        <v>330</v>
      </c>
      <c r="G42" s="336">
        <v>15</v>
      </c>
      <c r="H42" s="337">
        <v>30</v>
      </c>
      <c r="I42" s="338">
        <v>200</v>
      </c>
      <c r="J42" s="338">
        <f>IF($X$27=H42,1,0)</f>
        <v>0</v>
      </c>
      <c r="K42" s="338">
        <f>IF(F42&lt;=DESIGN!$E$75,1,0)</f>
        <v>1</v>
      </c>
      <c r="L42" s="338">
        <f t="shared" si="12"/>
        <v>0</v>
      </c>
      <c r="M42" s="359">
        <f t="shared" si="6"/>
        <v>0</v>
      </c>
      <c r="N42">
        <v>2</v>
      </c>
      <c r="O42" s="328">
        <f t="shared" si="13"/>
        <v>0</v>
      </c>
      <c r="Q42">
        <f t="shared" si="9"/>
        <v>0</v>
      </c>
      <c r="R42">
        <f t="shared" si="10"/>
        <v>0</v>
      </c>
      <c r="S42" s="324">
        <f>IF(R42=0,0,IF(AND($X$2=$AC$1,$X$27=$AD$1),$AD$2,IF(AND($X$2=$AC$1,$X$27=$AC$1),$AC$2,0)))</f>
        <v>0</v>
      </c>
      <c r="T42" t="str">
        <f t="shared" si="4"/>
        <v/>
      </c>
      <c r="U42">
        <f t="shared" si="14"/>
        <v>1</v>
      </c>
    </row>
    <row r="43" spans="1:53" ht="14.25" thickTop="1" thickBot="1" x14ac:dyDescent="0.25">
      <c r="A43">
        <f t="shared" si="1"/>
        <v>0</v>
      </c>
      <c r="B43">
        <f t="shared" si="2"/>
        <v>0</v>
      </c>
      <c r="C43">
        <f t="shared" si="7"/>
        <v>0</v>
      </c>
      <c r="D43" s="364" t="s">
        <v>1215</v>
      </c>
      <c r="E43" s="365">
        <v>300</v>
      </c>
      <c r="F43" s="348">
        <v>330</v>
      </c>
      <c r="G43" s="365">
        <v>4</v>
      </c>
      <c r="H43" s="366">
        <v>22</v>
      </c>
      <c r="I43" s="351">
        <v>200</v>
      </c>
      <c r="J43" s="351">
        <f>IF($X$27=H43,1,0)</f>
        <v>0</v>
      </c>
      <c r="K43" s="351">
        <f>IF(F43&lt;=DESIGN!$E$75,1,0)</f>
        <v>1</v>
      </c>
      <c r="L43" s="351">
        <f t="shared" si="12"/>
        <v>0</v>
      </c>
      <c r="M43" s="367">
        <f t="shared" si="6"/>
        <v>0</v>
      </c>
      <c r="N43">
        <v>2</v>
      </c>
      <c r="O43" s="328">
        <f t="shared" si="13"/>
        <v>0</v>
      </c>
      <c r="Q43">
        <f t="shared" si="9"/>
        <v>0</v>
      </c>
      <c r="R43">
        <f t="shared" si="10"/>
        <v>0</v>
      </c>
      <c r="S43" s="324">
        <f>IF(R43=0,0,IF(AND($X$2=$AC$1,$X$27=$AD$1),$AD$2,IF(AND($X$2=$AC$1,$X$27=$AC$1),$AC$2,0)))</f>
        <v>0</v>
      </c>
      <c r="T43" t="str">
        <f t="shared" si="4"/>
        <v/>
      </c>
      <c r="U43">
        <f t="shared" si="14"/>
        <v>1</v>
      </c>
      <c r="X43">
        <f>HLOOKUP(X1,X44:BA45,2,0)</f>
        <v>40</v>
      </c>
    </row>
    <row r="44" spans="1:53" ht="13.5" thickBot="1" x14ac:dyDescent="0.25">
      <c r="A44">
        <f t="shared" si="1"/>
        <v>0</v>
      </c>
      <c r="B44">
        <f t="shared" si="2"/>
        <v>0</v>
      </c>
      <c r="C44">
        <f t="shared" si="7"/>
        <v>0</v>
      </c>
      <c r="D44" s="353" t="s">
        <v>248</v>
      </c>
      <c r="E44" s="354">
        <v>835</v>
      </c>
      <c r="F44" s="354">
        <v>850</v>
      </c>
      <c r="G44" s="354">
        <v>9</v>
      </c>
      <c r="H44" s="355">
        <v>22</v>
      </c>
      <c r="I44" s="356">
        <v>200</v>
      </c>
      <c r="J44" s="356">
        <f t="shared" ref="J44:J64" si="15">IF($X$43=H44,1,0)</f>
        <v>0</v>
      </c>
      <c r="K44" s="356">
        <f>IF(F44&lt;=DESIGN!$E$75,1,0)</f>
        <v>1</v>
      </c>
      <c r="L44" s="356">
        <f t="shared" si="12"/>
        <v>0</v>
      </c>
      <c r="M44" s="357">
        <f>IF(I44&gt;$AA$1,0,1)</f>
        <v>0</v>
      </c>
      <c r="N44">
        <v>4</v>
      </c>
      <c r="O44" s="328">
        <f t="shared" si="13"/>
        <v>1</v>
      </c>
      <c r="Q44">
        <f t="shared" si="9"/>
        <v>0</v>
      </c>
      <c r="R44">
        <f t="shared" si="10"/>
        <v>0</v>
      </c>
      <c r="S44" s="290">
        <f t="shared" ref="S44:S64" si="16">IF(R44=1,IF(O44=1,IF($X$43=$AD$1,$AD$2,IF($X$43=$AC$1,$AC$2,0))),0)</f>
        <v>0</v>
      </c>
      <c r="T44" t="str">
        <f t="shared" si="4"/>
        <v/>
      </c>
      <c r="U44">
        <f t="shared" si="14"/>
        <v>2</v>
      </c>
      <c r="Y44" s="322" t="s">
        <v>936</v>
      </c>
      <c r="Z44" s="322" t="s">
        <v>937</v>
      </c>
      <c r="AA44" s="322" t="s">
        <v>938</v>
      </c>
      <c r="AB44" s="322" t="s">
        <v>939</v>
      </c>
      <c r="AC44" s="50" t="s">
        <v>940</v>
      </c>
      <c r="AD44" s="50" t="s">
        <v>941</v>
      </c>
      <c r="AE44" s="50" t="s">
        <v>942</v>
      </c>
      <c r="AF44" s="50" t="s">
        <v>2072</v>
      </c>
      <c r="AG44" s="50" t="s">
        <v>943</v>
      </c>
      <c r="AH44" s="50" t="s">
        <v>944</v>
      </c>
      <c r="AI44" s="50"/>
      <c r="AJ44" s="323" t="s">
        <v>945</v>
      </c>
      <c r="AK44" s="50" t="s">
        <v>946</v>
      </c>
      <c r="AL44" s="50" t="s">
        <v>947</v>
      </c>
      <c r="AM44" s="50" t="s">
        <v>948</v>
      </c>
      <c r="AN44" s="50" t="s">
        <v>950</v>
      </c>
      <c r="AO44" s="50" t="s">
        <v>951</v>
      </c>
      <c r="AP44" s="50" t="s">
        <v>952</v>
      </c>
      <c r="AQ44" s="50" t="s">
        <v>953</v>
      </c>
      <c r="AR44" s="322" t="s">
        <v>2989</v>
      </c>
      <c r="AS44" s="50" t="s">
        <v>954</v>
      </c>
      <c r="AT44" s="50" t="s">
        <v>955</v>
      </c>
      <c r="AU44" s="50" t="s">
        <v>956</v>
      </c>
      <c r="AV44" s="322" t="s">
        <v>2990</v>
      </c>
      <c r="AW44" s="50" t="s">
        <v>957</v>
      </c>
      <c r="AX44" s="322" t="s">
        <v>2993</v>
      </c>
      <c r="AY44" s="50" t="s">
        <v>2123</v>
      </c>
      <c r="AZ44" s="50" t="s">
        <v>2134</v>
      </c>
      <c r="BA44" s="50" t="s">
        <v>2135</v>
      </c>
    </row>
    <row r="45" spans="1:53" ht="14.25" thickTop="1" thickBot="1" x14ac:dyDescent="0.25">
      <c r="A45">
        <f t="shared" si="1"/>
        <v>0</v>
      </c>
      <c r="B45">
        <f t="shared" si="2"/>
        <v>0</v>
      </c>
      <c r="C45">
        <f t="shared" si="7"/>
        <v>0</v>
      </c>
      <c r="D45" s="358" t="s">
        <v>247</v>
      </c>
      <c r="E45" s="336">
        <v>597</v>
      </c>
      <c r="F45" s="336">
        <v>600</v>
      </c>
      <c r="G45" s="336">
        <v>9</v>
      </c>
      <c r="H45" s="337">
        <v>22</v>
      </c>
      <c r="I45" s="338">
        <v>200</v>
      </c>
      <c r="J45" s="338">
        <f t="shared" si="15"/>
        <v>0</v>
      </c>
      <c r="K45" s="338">
        <f>IF(F45&lt;=DESIGN!$E$75,1,0)</f>
        <v>1</v>
      </c>
      <c r="L45" s="338">
        <f t="shared" si="12"/>
        <v>0</v>
      </c>
      <c r="M45" s="359">
        <f t="shared" si="6"/>
        <v>0</v>
      </c>
      <c r="N45">
        <v>4</v>
      </c>
      <c r="O45" s="328">
        <f t="shared" si="13"/>
        <v>1</v>
      </c>
      <c r="Q45">
        <f t="shared" si="9"/>
        <v>0</v>
      </c>
      <c r="R45">
        <f t="shared" ref="R45:R59" si="17">O45*Q45</f>
        <v>0</v>
      </c>
      <c r="S45" s="290">
        <f t="shared" si="16"/>
        <v>0</v>
      </c>
      <c r="T45" t="str">
        <f t="shared" si="4"/>
        <v/>
      </c>
      <c r="U45">
        <f t="shared" si="14"/>
        <v>2</v>
      </c>
      <c r="X45" t="s">
        <v>2929</v>
      </c>
      <c r="AK45">
        <v>40</v>
      </c>
      <c r="AL45">
        <v>40</v>
      </c>
      <c r="AM45">
        <v>40</v>
      </c>
      <c r="AR45">
        <v>30</v>
      </c>
      <c r="AV45">
        <v>40</v>
      </c>
      <c r="AW45">
        <v>40</v>
      </c>
      <c r="AX45">
        <v>40</v>
      </c>
      <c r="AZ45">
        <v>40</v>
      </c>
      <c r="BA45">
        <v>40</v>
      </c>
    </row>
    <row r="46" spans="1:53" ht="14.25" thickTop="1" thickBot="1" x14ac:dyDescent="0.25">
      <c r="A46">
        <f t="shared" si="1"/>
        <v>0</v>
      </c>
      <c r="B46">
        <f t="shared" si="2"/>
        <v>0</v>
      </c>
      <c r="C46">
        <f t="shared" si="7"/>
        <v>0</v>
      </c>
      <c r="D46" s="358" t="s">
        <v>246</v>
      </c>
      <c r="E46" s="336">
        <v>438</v>
      </c>
      <c r="F46" s="336">
        <v>450</v>
      </c>
      <c r="G46" s="336">
        <v>6</v>
      </c>
      <c r="H46" s="337">
        <v>22</v>
      </c>
      <c r="I46" s="338">
        <v>200</v>
      </c>
      <c r="J46" s="338">
        <f t="shared" si="15"/>
        <v>0</v>
      </c>
      <c r="K46" s="338">
        <f>IF(F46&lt;=DESIGN!$E$75,1,0)</f>
        <v>1</v>
      </c>
      <c r="L46" s="338">
        <f t="shared" si="12"/>
        <v>0</v>
      </c>
      <c r="M46" s="359">
        <f t="shared" si="6"/>
        <v>0</v>
      </c>
      <c r="N46">
        <v>4</v>
      </c>
      <c r="O46" s="328">
        <f t="shared" si="13"/>
        <v>1</v>
      </c>
      <c r="Q46">
        <f t="shared" si="9"/>
        <v>0</v>
      </c>
      <c r="R46">
        <f t="shared" si="17"/>
        <v>0</v>
      </c>
      <c r="S46" s="290">
        <f t="shared" si="16"/>
        <v>0</v>
      </c>
      <c r="T46" t="str">
        <f t="shared" si="4"/>
        <v/>
      </c>
      <c r="U46">
        <f t="shared" si="14"/>
        <v>2</v>
      </c>
    </row>
    <row r="47" spans="1:53" ht="14.25" thickTop="1" thickBot="1" x14ac:dyDescent="0.25">
      <c r="A47">
        <f t="shared" si="1"/>
        <v>0</v>
      </c>
      <c r="B47">
        <f t="shared" si="2"/>
        <v>0</v>
      </c>
      <c r="C47">
        <f t="shared" si="7"/>
        <v>0</v>
      </c>
      <c r="D47" s="358" t="s">
        <v>245</v>
      </c>
      <c r="E47" s="336">
        <v>332</v>
      </c>
      <c r="F47" s="336">
        <v>350</v>
      </c>
      <c r="G47" s="336">
        <v>4</v>
      </c>
      <c r="H47" s="337">
        <v>22</v>
      </c>
      <c r="I47" s="338">
        <v>200</v>
      </c>
      <c r="J47" s="338">
        <f t="shared" si="15"/>
        <v>0</v>
      </c>
      <c r="K47" s="338">
        <f>IF(F47&lt;=DESIGN!$E$75,1,0)</f>
        <v>1</v>
      </c>
      <c r="L47" s="338">
        <f t="shared" si="12"/>
        <v>0</v>
      </c>
      <c r="M47" s="359">
        <f t="shared" si="6"/>
        <v>0</v>
      </c>
      <c r="N47">
        <v>4</v>
      </c>
      <c r="O47" s="328">
        <f t="shared" si="13"/>
        <v>1</v>
      </c>
      <c r="Q47">
        <f t="shared" si="9"/>
        <v>0</v>
      </c>
      <c r="R47">
        <f t="shared" si="17"/>
        <v>0</v>
      </c>
      <c r="S47" s="290">
        <f t="shared" si="16"/>
        <v>0</v>
      </c>
      <c r="T47" t="str">
        <f t="shared" si="4"/>
        <v/>
      </c>
      <c r="U47">
        <f t="shared" si="14"/>
        <v>2</v>
      </c>
    </row>
    <row r="48" spans="1:53" ht="14.25" thickTop="1" thickBot="1" x14ac:dyDescent="0.25">
      <c r="A48">
        <f t="shared" si="1"/>
        <v>0</v>
      </c>
      <c r="B48">
        <f t="shared" si="2"/>
        <v>0</v>
      </c>
      <c r="C48">
        <f t="shared" si="7"/>
        <v>0</v>
      </c>
      <c r="D48" s="360" t="s">
        <v>1219</v>
      </c>
      <c r="E48" s="336">
        <v>1640</v>
      </c>
      <c r="F48" s="336">
        <v>1650</v>
      </c>
      <c r="G48" s="336">
        <v>18</v>
      </c>
      <c r="H48" s="337">
        <v>30</v>
      </c>
      <c r="I48" s="338">
        <v>200</v>
      </c>
      <c r="J48" s="338">
        <f t="shared" si="15"/>
        <v>0</v>
      </c>
      <c r="K48" s="338">
        <f>IF(F48&lt;=DESIGN!$E$75,1,0)</f>
        <v>0</v>
      </c>
      <c r="L48" s="338">
        <f t="shared" si="12"/>
        <v>0</v>
      </c>
      <c r="M48" s="359">
        <f t="shared" si="6"/>
        <v>0</v>
      </c>
      <c r="N48">
        <v>4</v>
      </c>
      <c r="O48" s="328">
        <f t="shared" si="13"/>
        <v>1</v>
      </c>
      <c r="Q48">
        <f t="shared" si="9"/>
        <v>0</v>
      </c>
      <c r="R48">
        <f t="shared" si="17"/>
        <v>0</v>
      </c>
      <c r="S48" s="290">
        <f t="shared" si="16"/>
        <v>0</v>
      </c>
      <c r="T48" t="str">
        <f>IF(S48=0,"",S48)</f>
        <v/>
      </c>
      <c r="U48">
        <f t="shared" si="14"/>
        <v>2</v>
      </c>
    </row>
    <row r="49" spans="1:53" ht="14.25" thickTop="1" thickBot="1" x14ac:dyDescent="0.25">
      <c r="A49">
        <f t="shared" si="1"/>
        <v>0</v>
      </c>
      <c r="B49">
        <f t="shared" si="2"/>
        <v>0</v>
      </c>
      <c r="C49">
        <f t="shared" si="7"/>
        <v>0</v>
      </c>
      <c r="D49" s="360" t="s">
        <v>254</v>
      </c>
      <c r="E49" s="336">
        <v>1245</v>
      </c>
      <c r="F49" s="336">
        <v>1250</v>
      </c>
      <c r="G49" s="336">
        <v>18</v>
      </c>
      <c r="H49" s="337">
        <v>30</v>
      </c>
      <c r="I49" s="338">
        <v>200</v>
      </c>
      <c r="J49" s="338">
        <f t="shared" si="15"/>
        <v>0</v>
      </c>
      <c r="K49" s="338">
        <f>IF(F49&lt;=DESIGN!$E$75,1,0)</f>
        <v>0</v>
      </c>
      <c r="L49" s="338">
        <f t="shared" si="12"/>
        <v>0</v>
      </c>
      <c r="M49" s="359">
        <f t="shared" si="6"/>
        <v>0</v>
      </c>
      <c r="N49">
        <v>4</v>
      </c>
      <c r="O49" s="328">
        <f t="shared" si="13"/>
        <v>1</v>
      </c>
      <c r="Q49">
        <f t="shared" si="9"/>
        <v>0</v>
      </c>
      <c r="R49">
        <f t="shared" si="17"/>
        <v>0</v>
      </c>
      <c r="S49" s="290">
        <f t="shared" si="16"/>
        <v>0</v>
      </c>
      <c r="T49" t="str">
        <f t="shared" si="4"/>
        <v/>
      </c>
      <c r="U49">
        <f t="shared" si="14"/>
        <v>2</v>
      </c>
    </row>
    <row r="50" spans="1:53" ht="14.25" thickTop="1" thickBot="1" x14ac:dyDescent="0.25">
      <c r="A50">
        <f t="shared" si="1"/>
        <v>0</v>
      </c>
      <c r="B50">
        <f t="shared" si="2"/>
        <v>0</v>
      </c>
      <c r="C50">
        <f t="shared" si="7"/>
        <v>0</v>
      </c>
      <c r="D50" s="360" t="s">
        <v>253</v>
      </c>
      <c r="E50" s="336">
        <v>1048</v>
      </c>
      <c r="F50" s="336">
        <v>1050</v>
      </c>
      <c r="G50" s="336">
        <v>18</v>
      </c>
      <c r="H50" s="337">
        <v>30</v>
      </c>
      <c r="I50" s="338">
        <v>200</v>
      </c>
      <c r="J50" s="338">
        <f t="shared" si="15"/>
        <v>0</v>
      </c>
      <c r="K50" s="338">
        <f>IF(F50&lt;=DESIGN!$E$75,1,0)</f>
        <v>1</v>
      </c>
      <c r="L50" s="338">
        <f t="shared" si="12"/>
        <v>0</v>
      </c>
      <c r="M50" s="359">
        <f t="shared" si="6"/>
        <v>0</v>
      </c>
      <c r="N50">
        <v>4</v>
      </c>
      <c r="O50" s="328">
        <f t="shared" si="13"/>
        <v>1</v>
      </c>
      <c r="Q50">
        <f t="shared" si="9"/>
        <v>0</v>
      </c>
      <c r="R50">
        <f t="shared" si="17"/>
        <v>0</v>
      </c>
      <c r="S50" s="290">
        <f t="shared" si="16"/>
        <v>0</v>
      </c>
      <c r="T50" t="str">
        <f t="shared" si="4"/>
        <v/>
      </c>
      <c r="U50">
        <f t="shared" si="14"/>
        <v>2</v>
      </c>
    </row>
    <row r="51" spans="1:53" ht="14.25" thickTop="1" thickBot="1" x14ac:dyDescent="0.25">
      <c r="A51">
        <f t="shared" si="1"/>
        <v>0</v>
      </c>
      <c r="B51">
        <f t="shared" si="2"/>
        <v>0</v>
      </c>
      <c r="C51">
        <f t="shared" si="7"/>
        <v>0</v>
      </c>
      <c r="D51" s="360" t="s">
        <v>252</v>
      </c>
      <c r="E51" s="336">
        <v>850</v>
      </c>
      <c r="F51" s="336">
        <v>850</v>
      </c>
      <c r="G51" s="336">
        <v>18</v>
      </c>
      <c r="H51" s="337">
        <v>30</v>
      </c>
      <c r="I51" s="338">
        <v>200</v>
      </c>
      <c r="J51" s="338">
        <f t="shared" si="15"/>
        <v>0</v>
      </c>
      <c r="K51" s="338">
        <f>IF(F51&lt;=DESIGN!$E$75,1,0)</f>
        <v>1</v>
      </c>
      <c r="L51" s="338">
        <f t="shared" si="12"/>
        <v>0</v>
      </c>
      <c r="M51" s="359">
        <f t="shared" si="6"/>
        <v>0</v>
      </c>
      <c r="N51">
        <v>4</v>
      </c>
      <c r="O51" s="328">
        <f t="shared" si="13"/>
        <v>1</v>
      </c>
      <c r="Q51">
        <f t="shared" si="9"/>
        <v>0</v>
      </c>
      <c r="R51">
        <f t="shared" si="17"/>
        <v>0</v>
      </c>
      <c r="S51" s="290">
        <f t="shared" si="16"/>
        <v>0</v>
      </c>
      <c r="T51" t="str">
        <f t="shared" si="4"/>
        <v/>
      </c>
      <c r="U51">
        <f t="shared" si="14"/>
        <v>2</v>
      </c>
    </row>
    <row r="52" spans="1:53" ht="14.25" thickTop="1" thickBot="1" x14ac:dyDescent="0.25">
      <c r="A52">
        <f t="shared" si="1"/>
        <v>0</v>
      </c>
      <c r="B52">
        <f t="shared" si="2"/>
        <v>0</v>
      </c>
      <c r="C52">
        <f t="shared" si="7"/>
        <v>0</v>
      </c>
      <c r="D52" s="360" t="s">
        <v>251</v>
      </c>
      <c r="E52" s="336">
        <v>596</v>
      </c>
      <c r="F52" s="336">
        <v>600</v>
      </c>
      <c r="G52" s="336">
        <v>12</v>
      </c>
      <c r="H52" s="337">
        <v>30</v>
      </c>
      <c r="I52" s="338">
        <v>200</v>
      </c>
      <c r="J52" s="338">
        <f t="shared" si="15"/>
        <v>0</v>
      </c>
      <c r="K52" s="338">
        <f>IF(F52&lt;=DESIGN!$E$75,1,0)</f>
        <v>1</v>
      </c>
      <c r="L52" s="338">
        <f t="shared" si="12"/>
        <v>0</v>
      </c>
      <c r="M52" s="359">
        <f t="shared" si="6"/>
        <v>0</v>
      </c>
      <c r="N52">
        <v>4</v>
      </c>
      <c r="O52" s="328">
        <f t="shared" si="13"/>
        <v>1</v>
      </c>
      <c r="Q52">
        <f t="shared" si="9"/>
        <v>0</v>
      </c>
      <c r="R52">
        <f t="shared" si="17"/>
        <v>0</v>
      </c>
      <c r="S52" s="290">
        <f t="shared" si="16"/>
        <v>0</v>
      </c>
      <c r="T52" t="str">
        <f t="shared" si="4"/>
        <v/>
      </c>
      <c r="U52">
        <f t="shared" si="14"/>
        <v>2</v>
      </c>
    </row>
    <row r="53" spans="1:53" ht="14.25" thickTop="1" thickBot="1" x14ac:dyDescent="0.25">
      <c r="A53">
        <f t="shared" si="1"/>
        <v>0</v>
      </c>
      <c r="B53">
        <f t="shared" si="2"/>
        <v>0</v>
      </c>
      <c r="C53">
        <f t="shared" si="7"/>
        <v>0</v>
      </c>
      <c r="D53" s="360" t="s">
        <v>250</v>
      </c>
      <c r="E53" s="336">
        <v>427</v>
      </c>
      <c r="F53" s="336">
        <v>450</v>
      </c>
      <c r="G53" s="336">
        <v>8</v>
      </c>
      <c r="H53" s="337">
        <v>30</v>
      </c>
      <c r="I53" s="338">
        <v>200</v>
      </c>
      <c r="J53" s="338">
        <f t="shared" si="15"/>
        <v>0</v>
      </c>
      <c r="K53" s="338">
        <f>IF(F53&lt;=DESIGN!$E$75,1,0)</f>
        <v>1</v>
      </c>
      <c r="L53" s="338">
        <f t="shared" si="12"/>
        <v>0</v>
      </c>
      <c r="M53" s="359">
        <f t="shared" si="6"/>
        <v>0</v>
      </c>
      <c r="N53">
        <v>4</v>
      </c>
      <c r="O53" s="328">
        <f t="shared" si="13"/>
        <v>1</v>
      </c>
      <c r="Q53">
        <f t="shared" si="9"/>
        <v>0</v>
      </c>
      <c r="R53">
        <f t="shared" si="17"/>
        <v>0</v>
      </c>
      <c r="S53" s="290">
        <f t="shared" si="16"/>
        <v>0</v>
      </c>
      <c r="T53" t="str">
        <f t="shared" si="4"/>
        <v/>
      </c>
      <c r="U53">
        <f t="shared" si="14"/>
        <v>2</v>
      </c>
    </row>
    <row r="54" spans="1:53" ht="14.25" thickTop="1" thickBot="1" x14ac:dyDescent="0.25">
      <c r="A54">
        <f t="shared" si="1"/>
        <v>0</v>
      </c>
      <c r="B54">
        <f t="shared" si="2"/>
        <v>0</v>
      </c>
      <c r="C54">
        <f t="shared" si="7"/>
        <v>0</v>
      </c>
      <c r="D54" s="360" t="s">
        <v>249</v>
      </c>
      <c r="E54" s="336">
        <v>343</v>
      </c>
      <c r="F54" s="336">
        <v>350</v>
      </c>
      <c r="G54" s="336">
        <v>5</v>
      </c>
      <c r="H54" s="337">
        <v>30</v>
      </c>
      <c r="I54" s="338">
        <v>200</v>
      </c>
      <c r="J54" s="338">
        <f t="shared" si="15"/>
        <v>0</v>
      </c>
      <c r="K54" s="338">
        <f>IF(F54&lt;=DESIGN!$E$75,1,0)</f>
        <v>1</v>
      </c>
      <c r="L54" s="338">
        <f t="shared" si="12"/>
        <v>0</v>
      </c>
      <c r="M54" s="359">
        <f t="shared" si="6"/>
        <v>0</v>
      </c>
      <c r="N54">
        <v>4</v>
      </c>
      <c r="O54" s="328">
        <f t="shared" si="13"/>
        <v>1</v>
      </c>
      <c r="Q54">
        <f t="shared" si="9"/>
        <v>0</v>
      </c>
      <c r="R54">
        <f t="shared" si="17"/>
        <v>0</v>
      </c>
      <c r="S54" s="290">
        <f t="shared" si="16"/>
        <v>0</v>
      </c>
      <c r="T54" t="str">
        <f t="shared" si="4"/>
        <v/>
      </c>
      <c r="U54">
        <f t="shared" si="14"/>
        <v>2</v>
      </c>
    </row>
    <row r="55" spans="1:53" ht="14.25" thickTop="1" thickBot="1" x14ac:dyDescent="0.25">
      <c r="A55">
        <f t="shared" si="1"/>
        <v>0</v>
      </c>
      <c r="B55">
        <f t="shared" si="2"/>
        <v>0</v>
      </c>
      <c r="C55">
        <f t="shared" si="7"/>
        <v>0</v>
      </c>
      <c r="D55" s="361" t="s">
        <v>243</v>
      </c>
      <c r="E55" s="336">
        <v>2025</v>
      </c>
      <c r="F55" s="336">
        <v>2050</v>
      </c>
      <c r="G55" s="336">
        <v>45</v>
      </c>
      <c r="H55" s="337">
        <v>40</v>
      </c>
      <c r="I55" s="338">
        <v>130</v>
      </c>
      <c r="J55" s="338">
        <f t="shared" si="15"/>
        <v>1</v>
      </c>
      <c r="K55" s="338">
        <f>IF(F55&lt;=DESIGN!$E$75,1,0)</f>
        <v>0</v>
      </c>
      <c r="L55" s="338">
        <f t="shared" si="12"/>
        <v>1</v>
      </c>
      <c r="M55" s="359">
        <f t="shared" si="6"/>
        <v>0</v>
      </c>
      <c r="N55">
        <v>4</v>
      </c>
      <c r="O55" s="328">
        <f t="shared" si="13"/>
        <v>1</v>
      </c>
      <c r="Q55">
        <f t="shared" si="9"/>
        <v>0</v>
      </c>
      <c r="R55">
        <f>O55*Q55</f>
        <v>0</v>
      </c>
      <c r="S55" s="290">
        <f t="shared" si="16"/>
        <v>0</v>
      </c>
      <c r="T55" t="str">
        <f t="shared" si="4"/>
        <v/>
      </c>
      <c r="U55">
        <f t="shared" si="14"/>
        <v>2</v>
      </c>
    </row>
    <row r="56" spans="1:53" ht="14.25" thickTop="1" thickBot="1" x14ac:dyDescent="0.25">
      <c r="A56">
        <f t="shared" si="1"/>
        <v>0</v>
      </c>
      <c r="B56">
        <f t="shared" si="2"/>
        <v>0</v>
      </c>
      <c r="C56">
        <f t="shared" si="7"/>
        <v>0</v>
      </c>
      <c r="D56" s="361" t="s">
        <v>244</v>
      </c>
      <c r="E56" s="336">
        <v>1636</v>
      </c>
      <c r="F56" s="336">
        <v>1650</v>
      </c>
      <c r="G56" s="336">
        <v>45</v>
      </c>
      <c r="H56" s="337">
        <v>40</v>
      </c>
      <c r="I56" s="338">
        <v>130</v>
      </c>
      <c r="J56" s="338">
        <f t="shared" si="15"/>
        <v>1</v>
      </c>
      <c r="K56" s="338">
        <f>IF(F56&lt;=DESIGN!$E$75,1,0)</f>
        <v>0</v>
      </c>
      <c r="L56" s="338">
        <f t="shared" si="12"/>
        <v>1</v>
      </c>
      <c r="M56" s="359">
        <f t="shared" si="6"/>
        <v>0</v>
      </c>
      <c r="N56">
        <v>4</v>
      </c>
      <c r="O56" s="328">
        <f t="shared" si="13"/>
        <v>1</v>
      </c>
      <c r="Q56">
        <f t="shared" si="9"/>
        <v>0</v>
      </c>
      <c r="R56">
        <f t="shared" si="17"/>
        <v>0</v>
      </c>
      <c r="S56" s="290">
        <f t="shared" si="16"/>
        <v>0</v>
      </c>
      <c r="T56" t="str">
        <f t="shared" si="4"/>
        <v/>
      </c>
      <c r="U56">
        <f t="shared" si="14"/>
        <v>2</v>
      </c>
      <c r="Y56" s="322" t="s">
        <v>936</v>
      </c>
      <c r="Z56" s="322" t="s">
        <v>937</v>
      </c>
      <c r="AA56" s="322" t="s">
        <v>938</v>
      </c>
      <c r="AB56" s="322" t="s">
        <v>939</v>
      </c>
      <c r="AC56" s="50" t="s">
        <v>940</v>
      </c>
      <c r="AD56" s="50" t="s">
        <v>941</v>
      </c>
      <c r="AE56" s="50" t="s">
        <v>942</v>
      </c>
      <c r="AF56" s="50" t="s">
        <v>2072</v>
      </c>
      <c r="AG56" s="50" t="s">
        <v>943</v>
      </c>
      <c r="AH56" s="50" t="s">
        <v>944</v>
      </c>
      <c r="AI56" s="50"/>
      <c r="AJ56" s="323" t="s">
        <v>945</v>
      </c>
      <c r="AK56" s="50" t="s">
        <v>946</v>
      </c>
      <c r="AL56" s="50" t="s">
        <v>947</v>
      </c>
      <c r="AM56" s="50" t="s">
        <v>948</v>
      </c>
      <c r="AN56" s="50" t="s">
        <v>950</v>
      </c>
      <c r="AO56" s="50" t="s">
        <v>951</v>
      </c>
      <c r="AP56" s="50" t="s">
        <v>952</v>
      </c>
      <c r="AQ56" s="50" t="s">
        <v>953</v>
      </c>
      <c r="AR56" s="322" t="s">
        <v>2989</v>
      </c>
      <c r="AS56" s="50" t="s">
        <v>954</v>
      </c>
      <c r="AT56" s="50" t="s">
        <v>955</v>
      </c>
      <c r="AU56" s="50" t="s">
        <v>956</v>
      </c>
      <c r="AV56" s="322" t="s">
        <v>2990</v>
      </c>
      <c r="AW56" s="50" t="s">
        <v>957</v>
      </c>
      <c r="AX56" s="322" t="s">
        <v>2993</v>
      </c>
      <c r="AY56" s="50" t="s">
        <v>2123</v>
      </c>
      <c r="AZ56" s="50" t="s">
        <v>2134</v>
      </c>
      <c r="BA56" s="50" t="s">
        <v>2135</v>
      </c>
    </row>
    <row r="57" spans="1:53" ht="14.25" thickTop="1" thickBot="1" x14ac:dyDescent="0.25">
      <c r="A57">
        <f t="shared" si="1"/>
        <v>0</v>
      </c>
      <c r="B57">
        <f t="shared" si="2"/>
        <v>0</v>
      </c>
      <c r="C57">
        <f t="shared" si="7"/>
        <v>0</v>
      </c>
      <c r="D57" s="361" t="s">
        <v>257</v>
      </c>
      <c r="E57" s="336">
        <v>1222</v>
      </c>
      <c r="F57" s="336">
        <v>1250</v>
      </c>
      <c r="G57" s="336">
        <v>45</v>
      </c>
      <c r="H57" s="337">
        <v>40</v>
      </c>
      <c r="I57" s="338">
        <v>130</v>
      </c>
      <c r="J57" s="338">
        <f t="shared" si="15"/>
        <v>1</v>
      </c>
      <c r="K57" s="338">
        <f>IF(F57&lt;=DESIGN!$E$75,1,0)</f>
        <v>0</v>
      </c>
      <c r="L57" s="338">
        <f t="shared" si="12"/>
        <v>1</v>
      </c>
      <c r="M57" s="359">
        <f t="shared" si="6"/>
        <v>0</v>
      </c>
      <c r="N57">
        <v>4</v>
      </c>
      <c r="O57" s="328">
        <f t="shared" si="13"/>
        <v>1</v>
      </c>
      <c r="Q57">
        <f t="shared" si="9"/>
        <v>0</v>
      </c>
      <c r="R57">
        <f t="shared" si="17"/>
        <v>0</v>
      </c>
      <c r="S57" s="290">
        <f t="shared" si="16"/>
        <v>0</v>
      </c>
      <c r="T57" t="str">
        <f t="shared" si="4"/>
        <v/>
      </c>
      <c r="U57">
        <f t="shared" si="14"/>
        <v>2</v>
      </c>
      <c r="X57" s="294" t="s">
        <v>2932</v>
      </c>
      <c r="Y57">
        <v>1.5</v>
      </c>
      <c r="Z57">
        <v>3</v>
      </c>
      <c r="AA57">
        <v>5</v>
      </c>
      <c r="AB57">
        <v>8</v>
      </c>
      <c r="AC57">
        <v>9</v>
      </c>
      <c r="AD57">
        <v>10</v>
      </c>
      <c r="AE57">
        <v>15</v>
      </c>
      <c r="AF57">
        <v>18</v>
      </c>
      <c r="AG57">
        <v>25</v>
      </c>
      <c r="AH57">
        <v>35</v>
      </c>
      <c r="AJ57">
        <v>45</v>
      </c>
      <c r="AK57">
        <v>65</v>
      </c>
      <c r="AL57">
        <v>90</v>
      </c>
      <c r="AM57">
        <v>130</v>
      </c>
      <c r="AN57">
        <v>2</v>
      </c>
      <c r="AO57">
        <v>4</v>
      </c>
      <c r="AP57">
        <v>6</v>
      </c>
      <c r="AQ57">
        <v>10</v>
      </c>
      <c r="AR57">
        <v>13</v>
      </c>
      <c r="AS57">
        <v>20</v>
      </c>
      <c r="AT57">
        <v>27</v>
      </c>
      <c r="AU57">
        <v>40</v>
      </c>
      <c r="AV57">
        <v>53</v>
      </c>
      <c r="AW57">
        <v>60</v>
      </c>
      <c r="AX57">
        <v>80</v>
      </c>
      <c r="AY57">
        <v>45</v>
      </c>
      <c r="AZ57">
        <v>90</v>
      </c>
      <c r="BA57">
        <v>180</v>
      </c>
    </row>
    <row r="58" spans="1:53" ht="14.25" thickTop="1" thickBot="1" x14ac:dyDescent="0.25">
      <c r="A58">
        <f t="shared" si="1"/>
        <v>0</v>
      </c>
      <c r="B58">
        <f t="shared" si="2"/>
        <v>0</v>
      </c>
      <c r="C58">
        <f t="shared" si="7"/>
        <v>0</v>
      </c>
      <c r="D58" s="361" t="s">
        <v>256</v>
      </c>
      <c r="E58" s="336">
        <v>1015</v>
      </c>
      <c r="F58" s="336">
        <v>1050</v>
      </c>
      <c r="G58" s="336">
        <v>35</v>
      </c>
      <c r="H58" s="337">
        <v>40</v>
      </c>
      <c r="I58" s="338">
        <v>90</v>
      </c>
      <c r="J58" s="338">
        <f t="shared" si="15"/>
        <v>1</v>
      </c>
      <c r="K58" s="338">
        <f>IF(F58&lt;=DESIGN!$E$75,1,0)</f>
        <v>1</v>
      </c>
      <c r="L58" s="338">
        <f t="shared" si="12"/>
        <v>1</v>
      </c>
      <c r="M58" s="359">
        <f t="shared" si="6"/>
        <v>0</v>
      </c>
      <c r="N58">
        <v>4</v>
      </c>
      <c r="O58" s="328">
        <f t="shared" si="13"/>
        <v>1</v>
      </c>
      <c r="Q58">
        <f t="shared" si="9"/>
        <v>0</v>
      </c>
      <c r="R58">
        <f t="shared" si="17"/>
        <v>0</v>
      </c>
      <c r="S58" s="290">
        <f t="shared" si="16"/>
        <v>0</v>
      </c>
      <c r="T58" t="str">
        <f t="shared" si="4"/>
        <v/>
      </c>
      <c r="U58">
        <f t="shared" si="14"/>
        <v>2</v>
      </c>
    </row>
    <row r="59" spans="1:53" ht="14.25" thickTop="1" thickBot="1" x14ac:dyDescent="0.25">
      <c r="A59">
        <f t="shared" si="1"/>
        <v>1</v>
      </c>
      <c r="B59">
        <f t="shared" si="2"/>
        <v>1</v>
      </c>
      <c r="C59">
        <f t="shared" si="7"/>
        <v>1</v>
      </c>
      <c r="D59" s="361" t="s">
        <v>255</v>
      </c>
      <c r="E59" s="336">
        <v>834</v>
      </c>
      <c r="F59" s="336">
        <v>850</v>
      </c>
      <c r="G59" s="336">
        <v>25</v>
      </c>
      <c r="H59" s="337">
        <v>40</v>
      </c>
      <c r="I59" s="338">
        <v>60</v>
      </c>
      <c r="J59" s="338">
        <f t="shared" si="15"/>
        <v>1</v>
      </c>
      <c r="K59" s="338">
        <f>IF(F59&lt;=DESIGN!$E$75,1,0)</f>
        <v>1</v>
      </c>
      <c r="L59" s="338">
        <f t="shared" si="12"/>
        <v>1</v>
      </c>
      <c r="M59" s="359">
        <f t="shared" si="6"/>
        <v>1</v>
      </c>
      <c r="N59">
        <v>4</v>
      </c>
      <c r="O59" s="328">
        <f t="shared" si="13"/>
        <v>1</v>
      </c>
      <c r="Q59">
        <f t="shared" si="9"/>
        <v>1</v>
      </c>
      <c r="R59">
        <f t="shared" si="17"/>
        <v>1</v>
      </c>
      <c r="S59" s="290" t="str">
        <f t="shared" si="16"/>
        <v>UEKY40X400</v>
      </c>
      <c r="T59" t="str">
        <f t="shared" si="4"/>
        <v>UEKY40X400</v>
      </c>
      <c r="U59">
        <f t="shared" si="14"/>
        <v>2</v>
      </c>
    </row>
    <row r="60" spans="1:53" ht="14.25" thickTop="1" thickBot="1" x14ac:dyDescent="0.25">
      <c r="A60">
        <f t="shared" si="1"/>
        <v>0</v>
      </c>
      <c r="B60">
        <f t="shared" si="2"/>
        <v>0</v>
      </c>
      <c r="C60">
        <f t="shared" si="7"/>
        <v>0</v>
      </c>
      <c r="D60" s="363" t="s">
        <v>1220</v>
      </c>
      <c r="E60" s="336">
        <v>600</v>
      </c>
      <c r="F60" s="345">
        <v>625</v>
      </c>
      <c r="G60" s="336">
        <v>45</v>
      </c>
      <c r="H60" s="337">
        <v>40</v>
      </c>
      <c r="I60" s="338">
        <v>130</v>
      </c>
      <c r="J60" s="338">
        <f t="shared" si="15"/>
        <v>1</v>
      </c>
      <c r="K60" s="338">
        <f>IF(F60&lt;=DESIGN!$E$75,1,0)</f>
        <v>1</v>
      </c>
      <c r="L60" s="338">
        <f t="shared" si="12"/>
        <v>1</v>
      </c>
      <c r="M60" s="359">
        <f t="shared" si="6"/>
        <v>0</v>
      </c>
      <c r="N60">
        <v>4</v>
      </c>
      <c r="O60" s="328">
        <f t="shared" si="13"/>
        <v>1</v>
      </c>
      <c r="Q60">
        <f t="shared" si="9"/>
        <v>0</v>
      </c>
      <c r="R60">
        <f>O60*Q60</f>
        <v>0</v>
      </c>
      <c r="S60" s="290">
        <f t="shared" si="16"/>
        <v>0</v>
      </c>
      <c r="T60" t="str">
        <f t="shared" si="4"/>
        <v/>
      </c>
      <c r="U60">
        <f t="shared" si="14"/>
        <v>2</v>
      </c>
    </row>
    <row r="61" spans="1:53" ht="14.25" thickTop="1" thickBot="1" x14ac:dyDescent="0.25">
      <c r="A61">
        <f t="shared" si="1"/>
        <v>0</v>
      </c>
      <c r="B61">
        <f t="shared" si="2"/>
        <v>0</v>
      </c>
      <c r="C61">
        <f t="shared" si="7"/>
        <v>0</v>
      </c>
      <c r="D61" s="363" t="s">
        <v>1218</v>
      </c>
      <c r="E61" s="336">
        <v>600</v>
      </c>
      <c r="F61" s="342">
        <v>625</v>
      </c>
      <c r="G61" s="336">
        <v>15</v>
      </c>
      <c r="H61" s="337">
        <v>30</v>
      </c>
      <c r="I61" s="338">
        <v>200</v>
      </c>
      <c r="J61" s="338">
        <f t="shared" si="15"/>
        <v>0</v>
      </c>
      <c r="K61" s="338">
        <f>IF(F61&lt;=DESIGN!$E$75,1,0)</f>
        <v>1</v>
      </c>
      <c r="L61" s="338">
        <f t="shared" si="12"/>
        <v>0</v>
      </c>
      <c r="M61" s="359">
        <f t="shared" si="6"/>
        <v>0</v>
      </c>
      <c r="N61">
        <v>4</v>
      </c>
      <c r="O61" s="328">
        <f t="shared" si="13"/>
        <v>1</v>
      </c>
      <c r="Q61">
        <f t="shared" si="9"/>
        <v>0</v>
      </c>
      <c r="R61">
        <f>O61*Q61</f>
        <v>0</v>
      </c>
      <c r="S61" s="290">
        <f t="shared" si="16"/>
        <v>0</v>
      </c>
      <c r="T61" t="str">
        <f>IF(S61=0,"",S61)</f>
        <v/>
      </c>
      <c r="U61">
        <f t="shared" si="14"/>
        <v>2</v>
      </c>
    </row>
    <row r="62" spans="1:53" ht="14.25" thickTop="1" thickBot="1" x14ac:dyDescent="0.25">
      <c r="A62">
        <f t="shared" si="1"/>
        <v>0</v>
      </c>
      <c r="B62">
        <f t="shared" si="2"/>
        <v>0</v>
      </c>
      <c r="C62">
        <f t="shared" si="7"/>
        <v>0</v>
      </c>
      <c r="D62" s="363" t="s">
        <v>1217</v>
      </c>
      <c r="E62" s="336">
        <v>450</v>
      </c>
      <c r="F62" s="336">
        <v>475</v>
      </c>
      <c r="G62" s="336">
        <v>15</v>
      </c>
      <c r="H62" s="337">
        <v>30</v>
      </c>
      <c r="I62" s="338">
        <v>200</v>
      </c>
      <c r="J62" s="338">
        <f t="shared" si="15"/>
        <v>0</v>
      </c>
      <c r="K62" s="338">
        <f>IF(F62&lt;=DESIGN!$E$75,1,0)</f>
        <v>1</v>
      </c>
      <c r="L62" s="338">
        <f t="shared" si="12"/>
        <v>0</v>
      </c>
      <c r="M62" s="359">
        <f>IF(I62&gt;$AA$1,0,1)</f>
        <v>0</v>
      </c>
      <c r="N62">
        <v>4</v>
      </c>
      <c r="O62" s="328">
        <f t="shared" si="13"/>
        <v>1</v>
      </c>
      <c r="Q62">
        <f t="shared" si="9"/>
        <v>0</v>
      </c>
      <c r="R62">
        <f>O62*Q62</f>
        <v>0</v>
      </c>
      <c r="S62" s="290">
        <f t="shared" si="16"/>
        <v>0</v>
      </c>
      <c r="T62" t="str">
        <f t="shared" si="4"/>
        <v/>
      </c>
      <c r="U62">
        <f t="shared" si="14"/>
        <v>2</v>
      </c>
    </row>
    <row r="63" spans="1:53" ht="14.25" thickTop="1" thickBot="1" x14ac:dyDescent="0.25">
      <c r="A63">
        <f t="shared" si="1"/>
        <v>0</v>
      </c>
      <c r="B63">
        <f t="shared" si="2"/>
        <v>0</v>
      </c>
      <c r="C63">
        <f t="shared" si="7"/>
        <v>0</v>
      </c>
      <c r="D63" s="363" t="s">
        <v>1216</v>
      </c>
      <c r="E63" s="336">
        <v>300</v>
      </c>
      <c r="F63" s="345">
        <v>330</v>
      </c>
      <c r="G63" s="336">
        <v>15</v>
      </c>
      <c r="H63" s="337">
        <v>30</v>
      </c>
      <c r="I63" s="338">
        <v>200</v>
      </c>
      <c r="J63" s="338">
        <f t="shared" si="15"/>
        <v>0</v>
      </c>
      <c r="K63" s="338">
        <f>IF(F63&lt;=DESIGN!$E$75,1,0)</f>
        <v>1</v>
      </c>
      <c r="L63" s="338">
        <f t="shared" si="12"/>
        <v>0</v>
      </c>
      <c r="M63" s="359">
        <f t="shared" si="6"/>
        <v>0</v>
      </c>
      <c r="N63">
        <v>4</v>
      </c>
      <c r="O63" s="328">
        <f t="shared" si="13"/>
        <v>1</v>
      </c>
      <c r="Q63">
        <f t="shared" si="9"/>
        <v>0</v>
      </c>
      <c r="R63">
        <f>O63*Q63</f>
        <v>0</v>
      </c>
      <c r="S63" s="290">
        <f t="shared" si="16"/>
        <v>0</v>
      </c>
      <c r="T63" t="str">
        <f t="shared" si="4"/>
        <v/>
      </c>
      <c r="U63">
        <f t="shared" si="14"/>
        <v>2</v>
      </c>
    </row>
    <row r="64" spans="1:53" ht="14.25" thickTop="1" thickBot="1" x14ac:dyDescent="0.25">
      <c r="A64">
        <f t="shared" si="1"/>
        <v>0</v>
      </c>
      <c r="B64">
        <f t="shared" si="2"/>
        <v>0</v>
      </c>
      <c r="C64">
        <f t="shared" si="7"/>
        <v>0</v>
      </c>
      <c r="D64" s="368" t="s">
        <v>1215</v>
      </c>
      <c r="E64" s="365">
        <v>300</v>
      </c>
      <c r="F64" s="348">
        <v>330</v>
      </c>
      <c r="G64" s="365">
        <v>4</v>
      </c>
      <c r="H64" s="366">
        <v>22</v>
      </c>
      <c r="I64" s="351">
        <v>200</v>
      </c>
      <c r="J64" s="351">
        <f t="shared" si="15"/>
        <v>0</v>
      </c>
      <c r="K64" s="351">
        <f>IF(F64&lt;=DESIGN!$E$75,1,0)</f>
        <v>1</v>
      </c>
      <c r="L64" s="351">
        <f t="shared" si="12"/>
        <v>0</v>
      </c>
      <c r="M64" s="367">
        <f>IF(I64&gt;$AA$1,0,1)</f>
        <v>0</v>
      </c>
      <c r="N64">
        <v>4</v>
      </c>
      <c r="O64" s="328">
        <f t="shared" si="13"/>
        <v>1</v>
      </c>
      <c r="Q64">
        <f t="shared" si="9"/>
        <v>0</v>
      </c>
      <c r="R64">
        <f>O64*Q64</f>
        <v>0</v>
      </c>
      <c r="S64" s="290">
        <f t="shared" si="16"/>
        <v>0</v>
      </c>
      <c r="T64" t="str">
        <f t="shared" si="4"/>
        <v/>
      </c>
      <c r="U64">
        <f t="shared" si="14"/>
        <v>2</v>
      </c>
    </row>
    <row r="114" spans="21:21" x14ac:dyDescent="0.2">
      <c r="U114">
        <f t="shared" ref="U114:U121" si="18">N114/$Y$1</f>
        <v>0</v>
      </c>
    </row>
    <row r="115" spans="21:21" x14ac:dyDescent="0.2">
      <c r="U115">
        <f t="shared" si="18"/>
        <v>0</v>
      </c>
    </row>
    <row r="116" spans="21:21" x14ac:dyDescent="0.2">
      <c r="U116">
        <f t="shared" si="18"/>
        <v>0</v>
      </c>
    </row>
    <row r="117" spans="21:21" x14ac:dyDescent="0.2">
      <c r="U117">
        <f t="shared" si="18"/>
        <v>0</v>
      </c>
    </row>
    <row r="118" spans="21:21" x14ac:dyDescent="0.2">
      <c r="U118">
        <f t="shared" si="18"/>
        <v>0</v>
      </c>
    </row>
    <row r="119" spans="21:21" x14ac:dyDescent="0.2">
      <c r="U119">
        <f t="shared" si="18"/>
        <v>0</v>
      </c>
    </row>
    <row r="120" spans="21:21" x14ac:dyDescent="0.2">
      <c r="U120">
        <f t="shared" si="18"/>
        <v>0</v>
      </c>
    </row>
    <row r="121" spans="21:21" x14ac:dyDescent="0.2">
      <c r="U121">
        <f t="shared" si="18"/>
        <v>0</v>
      </c>
    </row>
  </sheetData>
  <autoFilter ref="A1:O64"/>
  <conditionalFormatting sqref="B1:C1">
    <cfRule type="expression" dxfId="5" priority="8" stopIfTrue="1">
      <formula>"&gt;0"</formula>
    </cfRule>
  </conditionalFormatting>
  <conditionalFormatting sqref="S69:S65536 S1:S64">
    <cfRule type="expression" dxfId="4" priority="4" stopIfTrue="1">
      <formula>$AD$2</formula>
    </cfRule>
    <cfRule type="expression" dxfId="3" priority="5" stopIfTrue="1">
      <formula>$AC$2</formula>
    </cfRule>
  </conditionalFormatting>
  <conditionalFormatting sqref="B69:B65536 B1:B64">
    <cfRule type="cellIs" dxfId="2" priority="3" stopIfTrue="1" operator="greaterThan">
      <formula>0</formula>
    </cfRule>
  </conditionalFormatting>
  <conditionalFormatting sqref="A1">
    <cfRule type="expression" dxfId="1" priority="2" stopIfTrue="1">
      <formula>"&gt;0"</formula>
    </cfRule>
  </conditionalFormatting>
  <conditionalFormatting sqref="A69:A65536 A1:A64">
    <cfRule type="cellIs" dxfId="0" priority="1" stopIfTrue="1" operator="greaterThan">
      <formula>0</formula>
    </cfRule>
  </conditionalFormatting>
  <pageMargins left="0.7" right="0.7" top="0.75" bottom="0.75" header="0.3" footer="0.3"/>
  <pageSetup paperSize="9" orientation="portrait" r:id="rId1"/>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activeCell="C6" sqref="C6"/>
    </sheetView>
  </sheetViews>
  <sheetFormatPr defaultRowHeight="12.75" x14ac:dyDescent="0.2"/>
  <cols>
    <col min="1" max="1" width="14.7109375" customWidth="1"/>
    <col min="2" max="2" width="10.140625" bestFit="1" customWidth="1"/>
    <col min="3" max="3" width="37.85546875" bestFit="1" customWidth="1"/>
  </cols>
  <sheetData>
    <row r="1" spans="1:3" x14ac:dyDescent="0.2">
      <c r="A1" t="s">
        <v>3229</v>
      </c>
    </row>
    <row r="3" spans="1:3" x14ac:dyDescent="0.2">
      <c r="A3" s="653" t="s">
        <v>3233</v>
      </c>
      <c r="B3" s="653" t="s">
        <v>3234</v>
      </c>
      <c r="C3" s="653" t="s">
        <v>3235</v>
      </c>
    </row>
    <row r="4" spans="1:3" x14ac:dyDescent="0.2">
      <c r="A4" t="s">
        <v>3230</v>
      </c>
      <c r="B4" t="s">
        <v>3231</v>
      </c>
      <c r="C4" s="294" t="s">
        <v>3232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22</vt:i4>
      </vt:variant>
    </vt:vector>
  </HeadingPairs>
  <TitlesOfParts>
    <vt:vector size="36" baseType="lpstr">
      <vt:lpstr>CODICI</vt:lpstr>
      <vt:lpstr>LINGUA</vt:lpstr>
      <vt:lpstr>GRAFICI</vt:lpstr>
      <vt:lpstr>DESIGN</vt:lpstr>
      <vt:lpstr>SELECTION</vt:lpstr>
      <vt:lpstr>OFFER</vt:lpstr>
      <vt:lpstr>Steam absoprtion distance-AUTO</vt:lpstr>
      <vt:lpstr>TENDER TEXT</vt:lpstr>
      <vt:lpstr>Steam absoprtion distance </vt:lpstr>
      <vt:lpstr>Currencies</vt:lpstr>
      <vt:lpstr>Potenze</vt:lpstr>
      <vt:lpstr>Commissioning</vt:lpstr>
      <vt:lpstr>DP</vt:lpstr>
      <vt:lpstr>release</vt:lpstr>
      <vt:lpstr>_UE01</vt:lpstr>
      <vt:lpstr>_UE03</vt:lpstr>
      <vt:lpstr>_UE05</vt:lpstr>
      <vt:lpstr>_UE06</vt:lpstr>
      <vt:lpstr>_UE08</vt:lpstr>
      <vt:lpstr>_UE18</vt:lpstr>
      <vt:lpstr>_UG2</vt:lpstr>
      <vt:lpstr>humidifier</vt:lpstr>
      <vt:lpstr>language</vt:lpstr>
      <vt:lpstr>LTubo</vt:lpstr>
      <vt:lpstr>DESIGN!Print_Area</vt:lpstr>
      <vt:lpstr>OFFER!Print_Area</vt:lpstr>
      <vt:lpstr>SELECTION!Print_Area</vt:lpstr>
      <vt:lpstr>'Steam absoprtion distance '!Print_Area</vt:lpstr>
      <vt:lpstr>'Steam absoprtion distance-AUTO'!Print_Area</vt:lpstr>
      <vt:lpstr>sceltalingue</vt:lpstr>
      <vt:lpstr>sceltalingue2</vt:lpstr>
      <vt:lpstr>SiNO</vt:lpstr>
      <vt:lpstr>SondeNumero</vt:lpstr>
      <vt:lpstr>UE</vt:lpstr>
      <vt:lpstr>UG</vt:lpstr>
      <vt:lpstr>UR</vt:lpstr>
    </vt:vector>
  </TitlesOfParts>
  <Company>ValValy Ltd.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humiFog multi lingue ver 3.1</dc:title>
  <dc:creator>Marco Antico</dc:creator>
  <cp:lastModifiedBy>Andrea Oscar Frisiero</cp:lastModifiedBy>
  <cp:lastPrinted>2013-12-12T09:56:06Z</cp:lastPrinted>
  <dcterms:created xsi:type="dcterms:W3CDTF">2001-04-21T13:24:12Z</dcterms:created>
  <dcterms:modified xsi:type="dcterms:W3CDTF">2017-02-01T09:01:26Z</dcterms:modified>
</cp:coreProperties>
</file>